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embeddings/oleObject1.bin" ContentType="application/vnd.openxmlformats-officedocument.oleObject"/>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10.xml" ContentType="application/vnd.openxmlformats-officedocument.drawing+xml"/>
  <Override PartName="/xl/embeddings/oleObject6.bin" ContentType="application/vnd.openxmlformats-officedocument.oleObject"/>
  <Override PartName="/xl/drawings/drawing11.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GI301/"/>
    </mc:Choice>
  </mc:AlternateContent>
  <xr:revisionPtr revIDLastSave="31" documentId="11_F25DC773A252ABDACC1048E089DE79AE5ADE58ED" xr6:coauthVersionLast="47" xr6:coauthVersionMax="47" xr10:uidLastSave="{204A380E-30C5-4AE7-8568-DB80734B68F9}"/>
  <bookViews>
    <workbookView xWindow="28680" yWindow="-120" windowWidth="38640" windowHeight="21120" xr2:uid="{00000000-000D-0000-FFFF-FFFF00000000}"/>
  </bookViews>
  <sheets>
    <sheet name="Cover " sheetId="98" r:id="rId1"/>
    <sheet name="GI 301 LO 1" sheetId="1" r:id="rId2"/>
    <sheet name="F20ADVQ3" sheetId="9" r:id="rId3"/>
    <sheet name="F20ADVQ4" sheetId="10" r:id="rId4"/>
    <sheet name="S21ADVQ3" sheetId="11" r:id="rId5"/>
    <sheet name="F21ADVQ3" sheetId="12" r:id="rId6"/>
    <sheet name="F21ADVQ4" sheetId="13" r:id="rId7"/>
    <sheet name="S22ADVQ3" sheetId="14" r:id="rId8"/>
    <sheet name="F22ADVQ3" sheetId="15" r:id="rId9"/>
    <sheet name="F22ADVQ4" sheetId="16" r:id="rId10"/>
    <sheet name="S23ADVQ3" sheetId="17" r:id="rId11"/>
    <sheet name="F23ADVQ3" sheetId="18" r:id="rId12"/>
    <sheet name="S24ADVQ4" sheetId="19" r:id="rId13"/>
    <sheet name="F24ADVQ3" sheetId="20" r:id="rId14"/>
    <sheet name="F24ADVQ4" sheetId="21" r:id="rId15"/>
    <sheet name="GI 301 LO 2" sheetId="2" r:id="rId16"/>
    <sheet name="S23ADVQ10" sheetId="22" r:id="rId17"/>
    <sheet name="F23ADVQ10" sheetId="23" r:id="rId18"/>
    <sheet name="S24ADVQ10" sheetId="24" r:id="rId19"/>
    <sheet name="F24ADVQ10" sheetId="25" r:id="rId20"/>
    <sheet name="GI 301 LO 3" sheetId="3" r:id="rId21"/>
    <sheet name="F20RRQ8" sheetId="26" r:id="rId22"/>
    <sheet name="S21RRQ7" sheetId="27" r:id="rId23"/>
    <sheet name="F21RRQ8" sheetId="28" r:id="rId24"/>
    <sheet name="S22RRQ14" sheetId="29" r:id="rId25"/>
    <sheet name="F22RRQ9" sheetId="30" r:id="rId26"/>
    <sheet name="GI 301 LO 4" sheetId="4" r:id="rId27"/>
    <sheet name="F20ADVQ6" sheetId="31" r:id="rId28"/>
    <sheet name="S21ADVQ6" sheetId="32" r:id="rId29"/>
    <sheet name="F21ADVQ6" sheetId="33" r:id="rId30"/>
    <sheet name="F22ADVQ6" sheetId="34" r:id="rId31"/>
    <sheet name="S23ADVQ8" sheetId="35" r:id="rId32"/>
    <sheet name="F23ADVQ8" sheetId="36" r:id="rId33"/>
    <sheet name="S24ADVQ08" sheetId="37" r:id="rId34"/>
    <sheet name="GI 301 LO 5" sheetId="5" r:id="rId35"/>
    <sheet name="F20RRQ14" sheetId="38" r:id="rId36"/>
    <sheet name="F21RRQ9" sheetId="39" r:id="rId37"/>
    <sheet name="S22RRQ5" sheetId="40" r:id="rId38"/>
    <sheet name="GI 301 LO 6" sheetId="6" r:id="rId39"/>
    <sheet name="F20RRQ3" sheetId="41" r:id="rId40"/>
    <sheet name="F20RRQ10" sheetId="42" r:id="rId41"/>
    <sheet name="F20RRQ11" sheetId="43" r:id="rId42"/>
    <sheet name="S21RRQ10" sheetId="44" r:id="rId43"/>
    <sheet name="S21RRQ13" sheetId="45" r:id="rId44"/>
    <sheet name="F21RRQ3" sheetId="46" r:id="rId45"/>
    <sheet name="F21RRQ10" sheetId="47" r:id="rId46"/>
    <sheet name="S22RRQ7" sheetId="48" r:id="rId47"/>
    <sheet name="S22RRQ19" sheetId="49" r:id="rId48"/>
    <sheet name="F22RRQ1" sheetId="50" r:id="rId49"/>
    <sheet name="F22RRQ8" sheetId="51" r:id="rId50"/>
    <sheet name="F22RRQ19" sheetId="52" r:id="rId51"/>
    <sheet name="F20FREUQ15" sheetId="53" r:id="rId52"/>
    <sheet name="F21FREUQ5" sheetId="54" r:id="rId53"/>
    <sheet name="S23ADVQ7" sheetId="55" r:id="rId54"/>
    <sheet name="S23ADVQ11" sheetId="56" r:id="rId55"/>
    <sheet name="S23ADVQ12" sheetId="57" r:id="rId56"/>
    <sheet name="F23ADVQ7" sheetId="58" r:id="rId57"/>
    <sheet name="F23ADVQ11" sheetId="59" r:id="rId58"/>
    <sheet name="F23ADVQ12" sheetId="60" r:id="rId59"/>
    <sheet name="S24ADVQ07" sheetId="61" r:id="rId60"/>
    <sheet name="S24ADVQ12" sheetId="62" r:id="rId61"/>
    <sheet name="F24ADVQ07" sheetId="63" r:id="rId62"/>
    <sheet name="F24ADVQ011" sheetId="64" r:id="rId63"/>
    <sheet name="GI 301 LO 7" sheetId="7" r:id="rId64"/>
    <sheet name="F20ADVQ1" sheetId="65" r:id="rId65"/>
    <sheet name="F20ADVQ8" sheetId="66" r:id="rId66"/>
    <sheet name="S21ADVQ1" sheetId="67" r:id="rId67"/>
    <sheet name="S21ADVQ8" sheetId="68" r:id="rId68"/>
    <sheet name="F21ADVQ1" sheetId="69" r:id="rId69"/>
    <sheet name="F21ADVQ8" sheetId="70" r:id="rId70"/>
    <sheet name="S22ADVQ1" sheetId="71" r:id="rId71"/>
    <sheet name="S22ADVQ8" sheetId="72" r:id="rId72"/>
    <sheet name="F22ADVQ1" sheetId="73" r:id="rId73"/>
    <sheet name="F22ADVQ8" sheetId="74" r:id="rId74"/>
    <sheet name="S23ADVQ1" sheetId="75" r:id="rId75"/>
    <sheet name="S23ADVQ9" sheetId="76" r:id="rId76"/>
    <sheet name="S23ADVQ13" sheetId="77" r:id="rId77"/>
    <sheet name="F23ADVQ1" sheetId="78" r:id="rId78"/>
    <sheet name="F23ADVQ9" sheetId="79" r:id="rId79"/>
    <sheet name="F23ADVQ13" sheetId="80" r:id="rId80"/>
    <sheet name="S24ADVQ01" sheetId="81" r:id="rId81"/>
    <sheet name="S24ADVQ09" sheetId="82" r:id="rId82"/>
    <sheet name="S24ADVQ13" sheetId="83" r:id="rId83"/>
    <sheet name="F24ADVQ01" sheetId="84" r:id="rId84"/>
    <sheet name="F24ADVQ13" sheetId="85" r:id="rId85"/>
    <sheet name="GI 301 LO 8" sheetId="8" r:id="rId86"/>
    <sheet name="F20RRQ12" sheetId="86" r:id="rId87"/>
    <sheet name="S21RRQ8" sheetId="87" r:id="rId88"/>
    <sheet name="F21RRQ17" sheetId="88" r:id="rId89"/>
    <sheet name="F22RRQ20" sheetId="89" r:id="rId90"/>
    <sheet name="F20ADVQ5" sheetId="90" r:id="rId91"/>
    <sheet name="S21ADVQ5" sheetId="91" r:id="rId92"/>
    <sheet name="F21ADVQ5" sheetId="92" r:id="rId93"/>
    <sheet name="S22ADVQ5" sheetId="93" r:id="rId94"/>
    <sheet name="S23ADVQ5" sheetId="94" r:id="rId95"/>
    <sheet name="F23ADVQ5" sheetId="95" r:id="rId96"/>
    <sheet name="S24ADVQ05" sheetId="96" r:id="rId97"/>
    <sheet name="F24ADVQ05" sheetId="97" r:id="rId98"/>
  </sheets>
  <externalReferences>
    <externalReference r:id="rId99"/>
    <externalReference r:id="rId100"/>
    <externalReference r:id="rId101"/>
    <externalReference r:id="rId102"/>
  </externalReferences>
  <definedNames>
    <definedName name="_Hlk111033648" localSheetId="50">F22RRQ19!#REF!</definedName>
    <definedName name="_Hlk172539484" localSheetId="14">F24ADVQ4!#REF!</definedName>
    <definedName name="AAD" localSheetId="77">[1]Q13!#REF!</definedName>
    <definedName name="AAD" localSheetId="17">[1]Q13!#REF!</definedName>
    <definedName name="AAD" localSheetId="57">[1]Q13!#REF!</definedName>
    <definedName name="AAD" localSheetId="58">[1]Q13!#REF!</definedName>
    <definedName name="AAD" localSheetId="79">F23ADVQ13!#REF!</definedName>
    <definedName name="AAD" localSheetId="11">[2]Q13!#REF!</definedName>
    <definedName name="AAD" localSheetId="95">[1]Q13!#REF!</definedName>
    <definedName name="AAD" localSheetId="56">[1]Q13!#REF!</definedName>
    <definedName name="AAD" localSheetId="32">[1]Q13!#REF!</definedName>
    <definedName name="AAD" localSheetId="78">[1]Q13!#REF!</definedName>
    <definedName name="AAD">[3]Q13!#REF!</definedName>
    <definedName name="Allocations">#REF!</definedName>
    <definedName name="Attach" localSheetId="77">[1]Q13!#REF!</definedName>
    <definedName name="Attach" localSheetId="17">[1]Q13!#REF!</definedName>
    <definedName name="Attach" localSheetId="57">[1]Q13!#REF!</definedName>
    <definedName name="Attach" localSheetId="58">[1]Q13!#REF!</definedName>
    <definedName name="Attach" localSheetId="79">F23ADVQ13!#REF!</definedName>
    <definedName name="Attach" localSheetId="11">[2]Q13!#REF!</definedName>
    <definedName name="Attach" localSheetId="95">[1]Q13!#REF!</definedName>
    <definedName name="Attach" localSheetId="56">[1]Q13!#REF!</definedName>
    <definedName name="Attach" localSheetId="32">[1]Q13!#REF!</definedName>
    <definedName name="Attach" localSheetId="78">[1]Q13!#REF!</definedName>
    <definedName name="Attach">[3]Q13!#REF!</definedName>
    <definedName name="attach2" localSheetId="77">F23ADVQ1!$L$4</definedName>
    <definedName name="attach2" localSheetId="79">F23ADVQ1!$L$4</definedName>
    <definedName name="attach2" localSheetId="78">F23ADVQ1!$L$4</definedName>
    <definedName name="attach2">F23ADVQ1!$L$4</definedName>
    <definedName name="CognitiveLevels">#REF!</definedName>
    <definedName name="CommonGuidance">#REF!</definedName>
    <definedName name="Cover" localSheetId="77">[1]Q13!#REF!</definedName>
    <definedName name="Cover" localSheetId="17">[1]Q13!#REF!</definedName>
    <definedName name="Cover" localSheetId="57">[1]Q13!#REF!</definedName>
    <definedName name="Cover" localSheetId="58">[1]Q13!#REF!</definedName>
    <definedName name="Cover" localSheetId="79">F23ADVQ13!#REF!</definedName>
    <definedName name="Cover" localSheetId="11">[2]Q13!#REF!</definedName>
    <definedName name="Cover" localSheetId="95">[1]Q13!#REF!</definedName>
    <definedName name="Cover" localSheetId="56">[1]Q13!#REF!</definedName>
    <definedName name="Cover" localSheetId="32">[1]Q13!#REF!</definedName>
    <definedName name="Cover" localSheetId="78">[1]Q13!#REF!</definedName>
    <definedName name="Cover">[3]Q13!#REF!</definedName>
    <definedName name="ILF_Tab" localSheetId="77">F23ADVQ1!$B$16:$C$32</definedName>
    <definedName name="ILF_Tab" localSheetId="79">F23ADVQ1!$B$16:$C$32</definedName>
    <definedName name="ILF_Tab" localSheetId="78">F23ADVQ1!$B$16:$C$32</definedName>
    <definedName name="ILF_Tab">F23ADVQ1!$B$16:$C$32</definedName>
    <definedName name="lambda" localSheetId="68">#REF!</definedName>
    <definedName name="lambda" localSheetId="5">#REF!</definedName>
    <definedName name="lambda" localSheetId="6">#REF!</definedName>
    <definedName name="lambda" localSheetId="92">#REF!</definedName>
    <definedName name="lambda" localSheetId="29">#REF!</definedName>
    <definedName name="lambda" localSheetId="69">#REF!</definedName>
    <definedName name="lambda" localSheetId="72">#REF!</definedName>
    <definedName name="lambda" localSheetId="8">#REF!</definedName>
    <definedName name="lambda" localSheetId="9">#REF!</definedName>
    <definedName name="lambda" localSheetId="30">#REF!</definedName>
    <definedName name="lambda" localSheetId="73">#REF!</definedName>
    <definedName name="lambda" localSheetId="66">#REF!</definedName>
    <definedName name="lambda" localSheetId="67">#REF!</definedName>
    <definedName name="lambda" localSheetId="70">#REF!</definedName>
    <definedName name="lambda" localSheetId="7">#REF!</definedName>
    <definedName name="lambda" localSheetId="93">#REF!</definedName>
    <definedName name="lambda" localSheetId="71">#REF!</definedName>
    <definedName name="lambda">#REF!</definedName>
    <definedName name="layer" localSheetId="77">F23ADVQ1!$J$4</definedName>
    <definedName name="layer" localSheetId="79">F23ADVQ1!$J$4</definedName>
    <definedName name="layer" localSheetId="78">F23ADVQ1!$J$4</definedName>
    <definedName name="layer">F23ADVQ1!$J$4</definedName>
    <definedName name="LO_1">#REF!</definedName>
    <definedName name="LO_2">#REF!</definedName>
    <definedName name="LOList">#REF!</definedName>
    <definedName name="OLE_LINK9" localSheetId="58">F23ADVQ12!#REF!</definedName>
    <definedName name="OLE_LINK9" localSheetId="95">F23ADVQ5!#REF!</definedName>
    <definedName name="OLE_LINK9" localSheetId="56">F23ADVQ7!#REF!</definedName>
    <definedName name="OLE_LINK9" localSheetId="55">S23ADVQ12!#REF!</definedName>
    <definedName name="OLE_LINK9" localSheetId="94">S23ADVQ5!#REF!</definedName>
    <definedName name="OLE_LINK9" localSheetId="53">S23ADVQ7!#REF!</definedName>
    <definedName name="P_1" localSheetId="65">F20ADVQ8!$C$9</definedName>
    <definedName name="P_2" localSheetId="65">F20ADVQ8!$C$10</definedName>
    <definedName name="P_3" localSheetId="65">F20ADVQ8!$C$11</definedName>
    <definedName name="_xlnm.Print_Area" localSheetId="40">F20RRQ10!$A$3:$L$71</definedName>
    <definedName name="_xlnm.Print_Area" localSheetId="41">F20RRQ11!$A$3:$L$56</definedName>
    <definedName name="_xlnm.Print_Area" localSheetId="86">F20RRQ12!$A$3:$L$37</definedName>
    <definedName name="_xlnm.Print_Area" localSheetId="35">F20RRQ14!$A$3:$L$110</definedName>
    <definedName name="_xlnm.Print_Area" localSheetId="39">F20RRQ3!$A$3:$L$46</definedName>
    <definedName name="_xlnm.Print_Area" localSheetId="21">F20RRQ8!$A$3:$L$29</definedName>
    <definedName name="_xlnm.Print_Area" localSheetId="45">F21RRQ10!$A$1:$L$44</definedName>
    <definedName name="_xlnm.Print_Area" localSheetId="88">F21RRQ17!$A$1:$L$80</definedName>
    <definedName name="_xlnm.Print_Area" localSheetId="44">F21RRQ3!$A$1:$L$47</definedName>
    <definedName name="_xlnm.Print_Area" localSheetId="23">F21RRQ8!$A$1:$L$97</definedName>
    <definedName name="_xlnm.Print_Area" localSheetId="36">F21RRQ9!$A$1:$L$104</definedName>
    <definedName name="_xlnm.Print_Titles" localSheetId="40">F20RRQ10!$1:$2</definedName>
    <definedName name="_xlnm.Print_Titles" localSheetId="41">F20RRQ11!$1:$2</definedName>
    <definedName name="_xlnm.Print_Titles" localSheetId="86">F20RRQ12!$1:$2</definedName>
    <definedName name="_xlnm.Print_Titles" localSheetId="35">F20RRQ14!$1:$2</definedName>
    <definedName name="_xlnm.Print_Titles" localSheetId="39">F20RRQ3!$1:$2</definedName>
    <definedName name="_xlnm.Print_Titles" localSheetId="21">F20RRQ8!$1:$2</definedName>
    <definedName name="Q_sources">#REF!</definedName>
    <definedName name="SyllabusListing">#REF!</definedName>
    <definedName name="Tail">'[4]Question 14'!$D$44</definedName>
    <definedName name="To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97" l="1"/>
  <c r="B28" i="97"/>
  <c r="C28" i="97"/>
  <c r="D28" i="97"/>
  <c r="E28" i="97"/>
  <c r="F28" i="97" s="1"/>
  <c r="A29" i="97"/>
  <c r="A44" i="97" s="1"/>
  <c r="B29" i="97"/>
  <c r="B44" i="97" s="1"/>
  <c r="C29" i="97"/>
  <c r="D29" i="97"/>
  <c r="E29" i="97"/>
  <c r="F29" i="97"/>
  <c r="A30" i="97"/>
  <c r="B30" i="97"/>
  <c r="C30" i="97"/>
  <c r="D30" i="97"/>
  <c r="E30" i="97"/>
  <c r="F30" i="97" s="1"/>
  <c r="A31" i="97"/>
  <c r="B31" i="97"/>
  <c r="B46" i="97" s="1"/>
  <c r="C31" i="97"/>
  <c r="D31" i="97"/>
  <c r="D46" i="97" s="1"/>
  <c r="E31" i="97"/>
  <c r="E46" i="97" s="1"/>
  <c r="H46" i="97" s="1"/>
  <c r="F31" i="97"/>
  <c r="A32" i="97"/>
  <c r="B32" i="97"/>
  <c r="C32" i="97"/>
  <c r="D32" i="97"/>
  <c r="E32" i="97"/>
  <c r="F32" i="97" s="1"/>
  <c r="A33" i="97"/>
  <c r="A48" i="97" s="1"/>
  <c r="B33" i="97"/>
  <c r="B48" i="97" s="1"/>
  <c r="C33" i="97"/>
  <c r="D33" i="97"/>
  <c r="D48" i="97" s="1"/>
  <c r="E33" i="97"/>
  <c r="E48" i="97" s="1"/>
  <c r="A43" i="97"/>
  <c r="B43" i="97"/>
  <c r="C43" i="97"/>
  <c r="H43" i="97" s="1"/>
  <c r="D43" i="97"/>
  <c r="I43" i="97" s="1"/>
  <c r="E43" i="97"/>
  <c r="C44" i="97"/>
  <c r="F44" i="97" s="1"/>
  <c r="D44" i="97"/>
  <c r="E44" i="97"/>
  <c r="H44" i="97" s="1"/>
  <c r="G44" i="97"/>
  <c r="A45" i="97"/>
  <c r="B45" i="97"/>
  <c r="C45" i="97"/>
  <c r="D45" i="97"/>
  <c r="E45" i="97"/>
  <c r="H45" i="97" s="1"/>
  <c r="F45" i="97"/>
  <c r="G45" i="97"/>
  <c r="I45" i="97"/>
  <c r="A46" i="97"/>
  <c r="C46" i="97"/>
  <c r="A47" i="97"/>
  <c r="B47" i="97"/>
  <c r="C47" i="97"/>
  <c r="D47" i="97"/>
  <c r="I47" i="97" s="1"/>
  <c r="E47" i="97"/>
  <c r="C48" i="97"/>
  <c r="G48" i="97"/>
  <c r="B19" i="96"/>
  <c r="D33" i="96" s="1" a="1"/>
  <c r="D33" i="96" s="1"/>
  <c r="C19" i="96"/>
  <c r="D19" i="96"/>
  <c r="E19" i="96"/>
  <c r="H19" i="96"/>
  <c r="I19" i="96"/>
  <c r="B20" i="96"/>
  <c r="C20" i="96"/>
  <c r="F20" i="96" s="1"/>
  <c r="D20" i="96"/>
  <c r="E20" i="96"/>
  <c r="H20" i="96"/>
  <c r="I20" i="96"/>
  <c r="J20" i="96"/>
  <c r="B21" i="96"/>
  <c r="C33" i="96" s="1" a="1"/>
  <c r="C33" i="96" s="1"/>
  <c r="C21" i="96"/>
  <c r="D21" i="96"/>
  <c r="J21" i="96" s="1"/>
  <c r="E21" i="96"/>
  <c r="D24" i="96" a="1"/>
  <c r="D24" i="96" s="1"/>
  <c r="E24" i="96" a="1"/>
  <c r="E24" i="96"/>
  <c r="C34" i="96" a="1"/>
  <c r="C34" i="96" s="1"/>
  <c r="E34" i="96" a="1"/>
  <c r="E34" i="96" s="1"/>
  <c r="E23" i="95"/>
  <c r="C26" i="95"/>
  <c r="C28" i="95" s="1"/>
  <c r="D26" i="95"/>
  <c r="E26" i="95"/>
  <c r="E28" i="95" s="1"/>
  <c r="E40" i="95" s="1"/>
  <c r="C27" i="95"/>
  <c r="D27" i="95"/>
  <c r="E27" i="95"/>
  <c r="C19" i="94"/>
  <c r="D19" i="94"/>
  <c r="E19" i="94"/>
  <c r="F19" i="94"/>
  <c r="I19" i="94" s="1"/>
  <c r="G19" i="94"/>
  <c r="H19" i="94"/>
  <c r="J19" i="94"/>
  <c r="C20" i="94"/>
  <c r="D20" i="94"/>
  <c r="G20" i="94" s="1"/>
  <c r="E20" i="94"/>
  <c r="I20" i="94" s="1"/>
  <c r="F20" i="94"/>
  <c r="H20" i="94" s="1"/>
  <c r="J20" i="94"/>
  <c r="C21" i="94"/>
  <c r="C41" i="94" s="1"/>
  <c r="D21" i="94"/>
  <c r="E21" i="94"/>
  <c r="F21" i="94"/>
  <c r="C22" i="94"/>
  <c r="D22" i="94"/>
  <c r="G22" i="94" s="1"/>
  <c r="E22" i="94"/>
  <c r="E42" i="94" s="1"/>
  <c r="F22" i="94"/>
  <c r="I22" i="94" s="1"/>
  <c r="C23" i="94"/>
  <c r="D23" i="94"/>
  <c r="G23" i="94" s="1"/>
  <c r="E23" i="94"/>
  <c r="F23" i="94"/>
  <c r="I23" i="94"/>
  <c r="J23" i="94"/>
  <c r="G24" i="94"/>
  <c r="H24" i="94"/>
  <c r="I24" i="94"/>
  <c r="J24" i="94"/>
  <c r="D26" i="94"/>
  <c r="C39" i="94"/>
  <c r="D39" i="94"/>
  <c r="E39" i="94"/>
  <c r="I39" i="94" s="1"/>
  <c r="F39" i="94"/>
  <c r="C40" i="94"/>
  <c r="D40" i="94"/>
  <c r="E40" i="94"/>
  <c r="F40" i="94"/>
  <c r="G40" i="94"/>
  <c r="F41" i="94"/>
  <c r="C42" i="94"/>
  <c r="D42" i="94"/>
  <c r="G42" i="94" s="1"/>
  <c r="C43" i="94"/>
  <c r="D43" i="94"/>
  <c r="G43" i="94" s="1"/>
  <c r="E43" i="94"/>
  <c r="F43" i="94"/>
  <c r="G44" i="94"/>
  <c r="H44" i="94"/>
  <c r="I44" i="94"/>
  <c r="J44" i="94"/>
  <c r="B25" i="93"/>
  <c r="C25" i="93"/>
  <c r="D25" i="93"/>
  <c r="E25" i="93"/>
  <c r="G25" i="93" s="1"/>
  <c r="F25" i="93"/>
  <c r="B26" i="93"/>
  <c r="C26" i="93"/>
  <c r="F33" i="93" s="1" a="1"/>
  <c r="F33" i="93" s="1"/>
  <c r="D26" i="93"/>
  <c r="E26" i="93"/>
  <c r="F26" i="93"/>
  <c r="G26" i="93"/>
  <c r="B27" i="93"/>
  <c r="C27" i="93"/>
  <c r="D27" i="93"/>
  <c r="I58" i="93" s="1"/>
  <c r="E27" i="93"/>
  <c r="G27" i="93" s="1"/>
  <c r="F27" i="93"/>
  <c r="B28" i="93"/>
  <c r="C28" i="93"/>
  <c r="K59" i="93" s="1"/>
  <c r="D28" i="93"/>
  <c r="E28" i="93"/>
  <c r="F28" i="93"/>
  <c r="G28" i="93"/>
  <c r="B29" i="93"/>
  <c r="C29" i="93"/>
  <c r="D29" i="93"/>
  <c r="E29" i="93"/>
  <c r="G29" i="93" s="1"/>
  <c r="F29" i="93"/>
  <c r="B30" i="93"/>
  <c r="C30" i="93"/>
  <c r="D30" i="93"/>
  <c r="F34" i="93" s="1" a="1"/>
  <c r="F34" i="93" s="1"/>
  <c r="F35" i="93" s="1"/>
  <c r="E30" i="93"/>
  <c r="F30" i="93"/>
  <c r="G30" i="93"/>
  <c r="E33" i="93" a="1"/>
  <c r="E33" i="93" s="1"/>
  <c r="I56" i="93"/>
  <c r="J56" i="93"/>
  <c r="J58" i="93"/>
  <c r="I59" i="93"/>
  <c r="J59" i="93"/>
  <c r="I60" i="93"/>
  <c r="J60" i="93"/>
  <c r="B26" i="92"/>
  <c r="C26" i="92"/>
  <c r="D26" i="92"/>
  <c r="E26" i="92"/>
  <c r="F26" i="92"/>
  <c r="G26" i="92"/>
  <c r="K26" i="92" s="1"/>
  <c r="H26" i="92"/>
  <c r="I26" i="92"/>
  <c r="J26" i="92"/>
  <c r="B27" i="92"/>
  <c r="C27" i="92"/>
  <c r="C42" i="92" s="1"/>
  <c r="D27" i="92"/>
  <c r="E27" i="92"/>
  <c r="F27" i="92"/>
  <c r="G27" i="92"/>
  <c r="H27" i="92"/>
  <c r="I27" i="92"/>
  <c r="K27" i="92"/>
  <c r="B28" i="92"/>
  <c r="B43" i="92" s="1"/>
  <c r="B59" i="92" s="1"/>
  <c r="C28" i="92"/>
  <c r="G32" i="92" s="1"/>
  <c r="D28" i="92"/>
  <c r="E28" i="92"/>
  <c r="F28" i="92"/>
  <c r="G28" i="92"/>
  <c r="K28" i="92"/>
  <c r="B29" i="92"/>
  <c r="C29" i="92"/>
  <c r="H29" i="92" s="1"/>
  <c r="D29" i="92"/>
  <c r="E44" i="92" s="1"/>
  <c r="E29" i="92"/>
  <c r="F29" i="92"/>
  <c r="G29" i="92"/>
  <c r="E32" i="92"/>
  <c r="B39" i="92"/>
  <c r="B54" i="92" s="1"/>
  <c r="B41" i="92"/>
  <c r="B57" i="92" s="1"/>
  <c r="C41" i="92"/>
  <c r="C57" i="92" s="1"/>
  <c r="D41" i="92"/>
  <c r="E41" i="92"/>
  <c r="B42" i="92"/>
  <c r="B58" i="92" s="1"/>
  <c r="D42" i="92"/>
  <c r="B44" i="92"/>
  <c r="B60" i="92" s="1"/>
  <c r="D44" i="92"/>
  <c r="C26" i="91"/>
  <c r="D26" i="91"/>
  <c r="E26" i="91"/>
  <c r="F26" i="91"/>
  <c r="C27" i="91"/>
  <c r="D40" i="91" s="1" a="1"/>
  <c r="D40" i="91" s="1"/>
  <c r="D27" i="91"/>
  <c r="E27" i="91"/>
  <c r="F27" i="91" s="1"/>
  <c r="C28" i="91"/>
  <c r="D28" i="91"/>
  <c r="F28" i="91" s="1"/>
  <c r="E28" i="91"/>
  <c r="C29" i="91"/>
  <c r="D29" i="91"/>
  <c r="E29" i="91"/>
  <c r="F29" i="91"/>
  <c r="C30" i="91"/>
  <c r="D30" i="91"/>
  <c r="E30" i="91"/>
  <c r="F30" i="91" s="1"/>
  <c r="B19" i="90"/>
  <c r="C19" i="90"/>
  <c r="C44" i="90" s="1"/>
  <c r="D19" i="90"/>
  <c r="E19" i="90"/>
  <c r="B20" i="90"/>
  <c r="C20" i="90"/>
  <c r="D20" i="90"/>
  <c r="D45" i="90" s="1"/>
  <c r="E20" i="90"/>
  <c r="E45" i="90" s="1"/>
  <c r="G20" i="90"/>
  <c r="G45" i="90" s="1"/>
  <c r="H20" i="90"/>
  <c r="H45" i="90" s="1"/>
  <c r="B21" i="90"/>
  <c r="C21" i="90"/>
  <c r="C46" i="90" s="1"/>
  <c r="D21" i="90"/>
  <c r="F21" i="90" s="1"/>
  <c r="F46" i="90" s="1"/>
  <c r="E21" i="90"/>
  <c r="E46" i="90" s="1"/>
  <c r="H21" i="90"/>
  <c r="B44" i="90"/>
  <c r="B45" i="90"/>
  <c r="C45" i="90"/>
  <c r="B46" i="90"/>
  <c r="D46" i="90"/>
  <c r="H46" i="90"/>
  <c r="C22" i="89"/>
  <c r="C36" i="89"/>
  <c r="C37" i="89"/>
  <c r="D37" i="89" s="1"/>
  <c r="C38" i="89"/>
  <c r="C39" i="89"/>
  <c r="D39" i="89"/>
  <c r="C40" i="89"/>
  <c r="D40" i="89"/>
  <c r="C41" i="89"/>
  <c r="D41" i="89" s="1"/>
  <c r="C42" i="89"/>
  <c r="C43" i="89"/>
  <c r="C44" i="89"/>
  <c r="C45" i="89"/>
  <c r="D45" i="89"/>
  <c r="C78" i="89"/>
  <c r="D79" i="89" s="1"/>
  <c r="C79" i="89"/>
  <c r="B34" i="88"/>
  <c r="B36" i="88"/>
  <c r="D49" i="88"/>
  <c r="F49" i="88"/>
  <c r="D50" i="88" s="1"/>
  <c r="F50" i="88"/>
  <c r="D52" i="88"/>
  <c r="D54" i="88" s="1"/>
  <c r="C67" i="88"/>
  <c r="C69" i="88" s="1"/>
  <c r="D67" i="88"/>
  <c r="C68" i="88"/>
  <c r="D68" i="88"/>
  <c r="D69" i="88"/>
  <c r="D70" i="88" s="1"/>
  <c r="C70" i="88"/>
  <c r="C33" i="87"/>
  <c r="D33" i="87" s="1"/>
  <c r="E33" i="87" s="1"/>
  <c r="C34" i="87"/>
  <c r="D34" i="87"/>
  <c r="E34" i="87" s="1"/>
  <c r="C35" i="87"/>
  <c r="D35" i="87" s="1"/>
  <c r="E35" i="87" s="1"/>
  <c r="C36" i="87"/>
  <c r="D36" i="87"/>
  <c r="E36" i="87" s="1"/>
  <c r="C37" i="87"/>
  <c r="D37" i="87"/>
  <c r="E37" i="87"/>
  <c r="C38" i="87"/>
  <c r="D38" i="87"/>
  <c r="E38" i="87" s="1"/>
  <c r="C39" i="87"/>
  <c r="D39" i="87" s="1"/>
  <c r="E39" i="87" s="1"/>
  <c r="C40" i="87"/>
  <c r="D40" i="87"/>
  <c r="E40" i="87" s="1"/>
  <c r="C41" i="87"/>
  <c r="D41" i="87" s="1"/>
  <c r="E41" i="87" s="1"/>
  <c r="C32" i="86"/>
  <c r="C33" i="86"/>
  <c r="C59" i="85"/>
  <c r="G59" i="85"/>
  <c r="C60" i="85"/>
  <c r="G60" i="85"/>
  <c r="C61" i="85"/>
  <c r="G61" i="85"/>
  <c r="C62" i="85"/>
  <c r="A65" i="85"/>
  <c r="J65" i="85" s="1"/>
  <c r="B65" i="85"/>
  <c r="C65" i="85"/>
  <c r="A66" i="85"/>
  <c r="J66" i="85" s="1"/>
  <c r="B66" i="85"/>
  <c r="E66" i="85" s="1"/>
  <c r="G66" i="85" s="1"/>
  <c r="H66" i="85" s="1"/>
  <c r="I66" i="85" s="1"/>
  <c r="C66" i="85"/>
  <c r="D66" i="85"/>
  <c r="F66" i="85"/>
  <c r="A67" i="85"/>
  <c r="B67" i="85"/>
  <c r="C67" i="85"/>
  <c r="F67" i="85" s="1"/>
  <c r="D67" i="85"/>
  <c r="E67" i="85" s="1"/>
  <c r="G67" i="85" s="1"/>
  <c r="H67" i="85" s="1"/>
  <c r="I67" i="85" s="1"/>
  <c r="K67" i="85" s="1"/>
  <c r="J67" i="85"/>
  <c r="A68" i="85"/>
  <c r="J68" i="85" s="1"/>
  <c r="B68" i="85"/>
  <c r="C68" i="85"/>
  <c r="D68" i="85"/>
  <c r="E68" i="85" s="1"/>
  <c r="A69" i="85"/>
  <c r="J69" i="85" s="1"/>
  <c r="B69" i="85"/>
  <c r="C69" i="85"/>
  <c r="D69" i="85"/>
  <c r="E69" i="85"/>
  <c r="G69" i="85" s="1"/>
  <c r="H69" i="85" s="1"/>
  <c r="F69" i="85"/>
  <c r="I69" i="85"/>
  <c r="K69" i="85" s="1"/>
  <c r="A70" i="85"/>
  <c r="D70" i="85" s="1"/>
  <c r="B70" i="85"/>
  <c r="C70" i="85"/>
  <c r="J70" i="85"/>
  <c r="B73" i="85"/>
  <c r="C31" i="84"/>
  <c r="D31" i="84"/>
  <c r="C32" i="84"/>
  <c r="D32" i="84"/>
  <c r="C33" i="84"/>
  <c r="D33" i="84" s="1"/>
  <c r="C36" i="84"/>
  <c r="C37" i="84" s="1"/>
  <c r="D36" i="84"/>
  <c r="D37" i="84" s="1"/>
  <c r="B43" i="84"/>
  <c r="B44" i="84" s="1"/>
  <c r="C47" i="84"/>
  <c r="D47" i="84"/>
  <c r="C48" i="84"/>
  <c r="D48" i="84"/>
  <c r="C49" i="84"/>
  <c r="D49" i="84"/>
  <c r="C50" i="84"/>
  <c r="D50" i="84"/>
  <c r="C51" i="84"/>
  <c r="B13" i="83"/>
  <c r="O13" i="83"/>
  <c r="B18" i="83"/>
  <c r="O18" i="83"/>
  <c r="B23" i="83"/>
  <c r="O23" i="83"/>
  <c r="O28" i="83" s="1"/>
  <c r="F38" i="83" s="1"/>
  <c r="B28" i="83"/>
  <c r="C24" i="82"/>
  <c r="C34" i="82" s="1"/>
  <c r="B34" i="82"/>
  <c r="B35" i="82"/>
  <c r="C35" i="82"/>
  <c r="B36" i="82"/>
  <c r="C36" i="82"/>
  <c r="B37" i="82"/>
  <c r="C37" i="82"/>
  <c r="B38" i="82"/>
  <c r="C38" i="82"/>
  <c r="A41" i="81"/>
  <c r="B41" i="81" s="1"/>
  <c r="C41" i="81"/>
  <c r="D41" i="81"/>
  <c r="E41" i="81"/>
  <c r="Q41" i="81"/>
  <c r="A42" i="81"/>
  <c r="B42" i="81"/>
  <c r="E42" i="81" s="1"/>
  <c r="C42" i="81"/>
  <c r="D42" i="81" s="1"/>
  <c r="Q42" i="81"/>
  <c r="A43" i="81"/>
  <c r="B43" i="81"/>
  <c r="E43" i="81" s="1"/>
  <c r="C43" i="81"/>
  <c r="D43" i="81" s="1"/>
  <c r="H43" i="81"/>
  <c r="Q43" i="81"/>
  <c r="A44" i="81"/>
  <c r="B44" i="81" s="1"/>
  <c r="E44" i="81" s="1"/>
  <c r="C44" i="81"/>
  <c r="D44" i="81"/>
  <c r="Q44" i="81"/>
  <c r="A45" i="81"/>
  <c r="B45" i="81"/>
  <c r="C45" i="81"/>
  <c r="D45" i="81"/>
  <c r="E45" i="81"/>
  <c r="F45" i="81" s="1"/>
  <c r="B63" i="81" s="1"/>
  <c r="Q45" i="81"/>
  <c r="A46" i="81"/>
  <c r="B46" i="81" s="1"/>
  <c r="E46" i="81" s="1"/>
  <c r="C46" i="81"/>
  <c r="D46" i="81" s="1"/>
  <c r="Q46" i="81"/>
  <c r="A47" i="81"/>
  <c r="B47" i="81"/>
  <c r="E47" i="81" s="1"/>
  <c r="C47" i="81"/>
  <c r="D47" i="81"/>
  <c r="Q47" i="81"/>
  <c r="A48" i="81"/>
  <c r="B48" i="81"/>
  <c r="C48" i="81"/>
  <c r="D48" i="81" s="1"/>
  <c r="E48" i="81"/>
  <c r="F48" i="81" s="1"/>
  <c r="H48" i="81"/>
  <c r="I48" i="81"/>
  <c r="K48" i="81" s="1"/>
  <c r="Q48" i="81"/>
  <c r="A49" i="81"/>
  <c r="B49" i="81" s="1"/>
  <c r="E49" i="81" s="1"/>
  <c r="C49" i="81"/>
  <c r="D49" i="81"/>
  <c r="Q49" i="81"/>
  <c r="A50" i="81"/>
  <c r="B50" i="81"/>
  <c r="E50" i="81" s="1"/>
  <c r="C50" i="81"/>
  <c r="D50" i="81"/>
  <c r="Q50" i="81"/>
  <c r="A51" i="81"/>
  <c r="B51" i="81"/>
  <c r="E51" i="81" s="1"/>
  <c r="C51" i="81"/>
  <c r="D51" i="81" s="1"/>
  <c r="Q51" i="81"/>
  <c r="A52" i="81"/>
  <c r="B52" i="81" s="1"/>
  <c r="E52" i="81" s="1"/>
  <c r="C52" i="81"/>
  <c r="Q52" i="81"/>
  <c r="A53" i="81"/>
  <c r="B53" i="81" s="1"/>
  <c r="E53" i="81" s="1"/>
  <c r="C53" i="81"/>
  <c r="D53" i="81"/>
  <c r="Q53" i="81"/>
  <c r="A54" i="81"/>
  <c r="B54" i="81"/>
  <c r="E54" i="81" s="1"/>
  <c r="C54" i="81"/>
  <c r="D54" i="81" s="1"/>
  <c r="Q54" i="81"/>
  <c r="A55" i="81"/>
  <c r="B55" i="81"/>
  <c r="E55" i="81" s="1"/>
  <c r="C55" i="81"/>
  <c r="D55" i="81" s="1"/>
  <c r="H55" i="81"/>
  <c r="Q55" i="81"/>
  <c r="A56" i="81"/>
  <c r="B56" i="81" s="1"/>
  <c r="E56" i="81" s="1"/>
  <c r="C56" i="81"/>
  <c r="D56" i="81"/>
  <c r="Q56" i="81"/>
  <c r="A57" i="81"/>
  <c r="B57" i="81"/>
  <c r="C57" i="81"/>
  <c r="D57" i="81"/>
  <c r="E57" i="81"/>
  <c r="F57" i="81" s="1"/>
  <c r="Q57" i="81"/>
  <c r="A58" i="81"/>
  <c r="B58" i="81" s="1"/>
  <c r="E58" i="81" s="1"/>
  <c r="C58" i="81"/>
  <c r="D58" i="81" s="1"/>
  <c r="Q58" i="81"/>
  <c r="A59" i="81"/>
  <c r="B59" i="81"/>
  <c r="E59" i="81" s="1"/>
  <c r="C59" i="81"/>
  <c r="D59" i="81"/>
  <c r="Q59" i="81"/>
  <c r="A60" i="81"/>
  <c r="B60" i="81"/>
  <c r="C60" i="81"/>
  <c r="D60" i="81" s="1"/>
  <c r="E60" i="81"/>
  <c r="F60" i="81" s="1"/>
  <c r="H60" i="81"/>
  <c r="I60" i="81"/>
  <c r="K60" i="81" s="1"/>
  <c r="Q60" i="81"/>
  <c r="C63" i="81"/>
  <c r="C64" i="81"/>
  <c r="D91" i="81"/>
  <c r="B19" i="80"/>
  <c r="C19" i="80"/>
  <c r="D19" i="80" s="1"/>
  <c r="D23" i="80" s="1"/>
  <c r="D27" i="80" s="1"/>
  <c r="E19" i="80"/>
  <c r="B20" i="80"/>
  <c r="C20" i="80"/>
  <c r="D20" i="80"/>
  <c r="E20" i="80"/>
  <c r="B21" i="80"/>
  <c r="C21" i="80"/>
  <c r="E21" i="80" s="1"/>
  <c r="E23" i="80" s="1"/>
  <c r="D21" i="80"/>
  <c r="B22" i="80"/>
  <c r="C22" i="80"/>
  <c r="D22" i="80" s="1"/>
  <c r="E22" i="80"/>
  <c r="C37" i="80"/>
  <c r="C38" i="80"/>
  <c r="C39" i="80" s="1"/>
  <c r="C40" i="80" s="1"/>
  <c r="C41" i="80" s="1"/>
  <c r="C42" i="80" s="1"/>
  <c r="C43" i="80" s="1"/>
  <c r="C44" i="80" s="1"/>
  <c r="C45" i="80" s="1"/>
  <c r="C46" i="80" s="1"/>
  <c r="C47" i="80" s="1"/>
  <c r="B41" i="79"/>
  <c r="C41" i="79" s="1"/>
  <c r="D41" i="79" s="1"/>
  <c r="B42" i="79"/>
  <c r="C42" i="79"/>
  <c r="D42" i="79" s="1"/>
  <c r="E42" i="79" s="1"/>
  <c r="B43" i="79"/>
  <c r="C43" i="79" s="1"/>
  <c r="D43" i="79" s="1"/>
  <c r="E43" i="79" s="1"/>
  <c r="B44" i="79"/>
  <c r="C44" i="79" s="1"/>
  <c r="D44" i="79" s="1"/>
  <c r="E44" i="79" s="1"/>
  <c r="B45" i="79"/>
  <c r="C45" i="79"/>
  <c r="D45" i="79" s="1"/>
  <c r="E45" i="79" s="1"/>
  <c r="B46" i="79"/>
  <c r="C46" i="79" s="1"/>
  <c r="D46" i="79" s="1"/>
  <c r="E46" i="79" s="1"/>
  <c r="B47" i="79"/>
  <c r="C47" i="79" s="1"/>
  <c r="D47" i="79" s="1"/>
  <c r="E47" i="79" s="1"/>
  <c r="B48" i="79"/>
  <c r="C48" i="79"/>
  <c r="D48" i="79" s="1"/>
  <c r="E48" i="79" s="1"/>
  <c r="B49" i="79"/>
  <c r="C49" i="79" s="1"/>
  <c r="D49" i="79" s="1"/>
  <c r="E49" i="79" s="1"/>
  <c r="B50" i="79"/>
  <c r="C50" i="79" s="1"/>
  <c r="D50" i="79" s="1"/>
  <c r="E50" i="79" s="1"/>
  <c r="L37" i="78"/>
  <c r="M37" i="78"/>
  <c r="B38" i="78"/>
  <c r="C38" i="78"/>
  <c r="E38" i="78" s="1"/>
  <c r="D38" i="78"/>
  <c r="L38" i="78"/>
  <c r="M38" i="78"/>
  <c r="B39" i="78"/>
  <c r="B68" i="78" s="1"/>
  <c r="C39" i="78"/>
  <c r="H39" i="78" s="1"/>
  <c r="D39" i="78"/>
  <c r="E39" i="78"/>
  <c r="F39" i="78"/>
  <c r="G39" i="78" s="1"/>
  <c r="I39" i="78" s="1"/>
  <c r="L39" i="78"/>
  <c r="M39" i="78"/>
  <c r="H42" i="78" s="1"/>
  <c r="B40" i="78"/>
  <c r="C40" i="78"/>
  <c r="D40" i="78"/>
  <c r="F40" i="78" s="1"/>
  <c r="E40" i="78"/>
  <c r="H40" i="78"/>
  <c r="L40" i="78"/>
  <c r="M40" i="78"/>
  <c r="H45" i="78" s="1"/>
  <c r="B41" i="78"/>
  <c r="C41" i="78"/>
  <c r="E41" i="78" s="1"/>
  <c r="F41" i="78" s="1"/>
  <c r="G41" i="78" s="1"/>
  <c r="D41" i="78"/>
  <c r="B42" i="78"/>
  <c r="B71" i="78" s="1"/>
  <c r="C42" i="78"/>
  <c r="D42" i="78"/>
  <c r="E42" i="78"/>
  <c r="F42" i="78" s="1"/>
  <c r="B43" i="78"/>
  <c r="B72" i="78" s="1"/>
  <c r="C43" i="78"/>
  <c r="H43" i="78" s="1"/>
  <c r="D43" i="78"/>
  <c r="E43" i="78"/>
  <c r="F43" i="78"/>
  <c r="B44" i="78"/>
  <c r="C44" i="78"/>
  <c r="C73" i="78" s="1"/>
  <c r="D44" i="78"/>
  <c r="B45" i="78"/>
  <c r="B74" i="78" s="1"/>
  <c r="C45" i="78"/>
  <c r="D45" i="78"/>
  <c r="E45" i="78"/>
  <c r="F45" i="78" s="1"/>
  <c r="G45" i="78" s="1"/>
  <c r="I45" i="78" s="1"/>
  <c r="D49" i="78"/>
  <c r="D50" i="78"/>
  <c r="D51" i="78"/>
  <c r="C81" i="78" s="1"/>
  <c r="D52" i="78"/>
  <c r="D66" i="78"/>
  <c r="B67" i="78"/>
  <c r="C68" i="78"/>
  <c r="D68" i="78"/>
  <c r="B69" i="78"/>
  <c r="C69" i="78"/>
  <c r="B70" i="78"/>
  <c r="C71" i="78"/>
  <c r="C72" i="78"/>
  <c r="B73" i="78"/>
  <c r="C74" i="78"/>
  <c r="B75" i="78"/>
  <c r="C79" i="78"/>
  <c r="C82" i="78"/>
  <c r="B22" i="77"/>
  <c r="C22" i="77"/>
  <c r="D22" i="77"/>
  <c r="G22" i="77" s="1"/>
  <c r="E22" i="77"/>
  <c r="F22" i="77" s="1"/>
  <c r="B23" i="77"/>
  <c r="C23" i="77"/>
  <c r="D23" i="77"/>
  <c r="G23" i="77" s="1"/>
  <c r="E23" i="77"/>
  <c r="F23" i="77" s="1"/>
  <c r="H23" i="77"/>
  <c r="B24" i="77"/>
  <c r="C24" i="77"/>
  <c r="D24" i="77"/>
  <c r="E24" i="77"/>
  <c r="F24" i="77"/>
  <c r="G24" i="77"/>
  <c r="B25" i="77"/>
  <c r="C25" i="77"/>
  <c r="D25" i="77"/>
  <c r="E25" i="77"/>
  <c r="F25" i="77" s="1"/>
  <c r="G25" i="77" s="1"/>
  <c r="H25" i="77" s="1"/>
  <c r="I25" i="77" s="1"/>
  <c r="B26" i="77"/>
  <c r="C26" i="77"/>
  <c r="D26" i="77"/>
  <c r="G26" i="77" s="1"/>
  <c r="E26" i="77"/>
  <c r="F26" i="77" s="1"/>
  <c r="B60" i="77"/>
  <c r="C60" i="77"/>
  <c r="E60" i="77" s="1"/>
  <c r="D60" i="77"/>
  <c r="B61" i="77"/>
  <c r="C61" i="77"/>
  <c r="D61" i="77"/>
  <c r="B62" i="77"/>
  <c r="C62" i="77"/>
  <c r="E62" i="77" s="1"/>
  <c r="D62" i="77"/>
  <c r="F62" i="77"/>
  <c r="B63" i="77"/>
  <c r="C63" i="77"/>
  <c r="D63" i="77"/>
  <c r="E63" i="77"/>
  <c r="F63" i="77"/>
  <c r="B64" i="77"/>
  <c r="C64" i="77"/>
  <c r="E64" i="77" s="1"/>
  <c r="D64" i="77"/>
  <c r="D65" i="77" s="1"/>
  <c r="B40" i="76"/>
  <c r="C40" i="76"/>
  <c r="D40" i="76"/>
  <c r="E40" i="76" s="1"/>
  <c r="F40" i="76" s="1"/>
  <c r="G40" i="76" s="1"/>
  <c r="B41" i="76"/>
  <c r="C41" i="76"/>
  <c r="D41" i="76" s="1"/>
  <c r="B42" i="76"/>
  <c r="C42" i="76"/>
  <c r="D42" i="76"/>
  <c r="E42" i="76" s="1"/>
  <c r="F42" i="76" s="1"/>
  <c r="G42" i="76" s="1"/>
  <c r="B43" i="76"/>
  <c r="C43" i="76"/>
  <c r="D43" i="76" s="1"/>
  <c r="B44" i="76"/>
  <c r="C44" i="76"/>
  <c r="D44" i="76"/>
  <c r="E44" i="76" s="1"/>
  <c r="F44" i="76" s="1"/>
  <c r="G44" i="76" s="1"/>
  <c r="B45" i="76"/>
  <c r="C45" i="76"/>
  <c r="D45" i="76" s="1"/>
  <c r="B46" i="76"/>
  <c r="C46" i="76"/>
  <c r="D46" i="76"/>
  <c r="E46" i="76" s="1"/>
  <c r="F46" i="76" s="1"/>
  <c r="G46" i="76" s="1"/>
  <c r="B47" i="76"/>
  <c r="C47" i="76"/>
  <c r="D47" i="76" s="1"/>
  <c r="B48" i="76"/>
  <c r="C48" i="76"/>
  <c r="D48" i="76"/>
  <c r="E48" i="76" s="1"/>
  <c r="F48" i="76" s="1"/>
  <c r="G48" i="76" s="1"/>
  <c r="B49" i="76"/>
  <c r="C49" i="76"/>
  <c r="D49" i="76" s="1"/>
  <c r="B50" i="76"/>
  <c r="C50" i="76"/>
  <c r="D50" i="76"/>
  <c r="E50" i="76" s="1"/>
  <c r="F50" i="76" s="1"/>
  <c r="G50" i="76" s="1"/>
  <c r="B51" i="76"/>
  <c r="C51" i="76"/>
  <c r="D51" i="76" s="1"/>
  <c r="B52" i="76"/>
  <c r="C52" i="76"/>
  <c r="D52" i="76"/>
  <c r="E52" i="76" s="1"/>
  <c r="F52" i="76" s="1"/>
  <c r="G52" i="76" s="1"/>
  <c r="B53" i="76"/>
  <c r="C53" i="76"/>
  <c r="D53" i="76" s="1"/>
  <c r="B54" i="76"/>
  <c r="C54" i="76"/>
  <c r="D54" i="76"/>
  <c r="E54" i="76" s="1"/>
  <c r="F54" i="76" s="1"/>
  <c r="G54" i="76" s="1"/>
  <c r="B55" i="76"/>
  <c r="F59" i="76"/>
  <c r="B27" i="75"/>
  <c r="C27" i="75"/>
  <c r="D27" i="75"/>
  <c r="E27" i="75"/>
  <c r="F27" i="75"/>
  <c r="J27" i="75" s="1"/>
  <c r="G27" i="75"/>
  <c r="H27" i="75" s="1"/>
  <c r="L27" i="75" s="1"/>
  <c r="I27" i="75"/>
  <c r="B28" i="75"/>
  <c r="C28" i="75"/>
  <c r="D28" i="75"/>
  <c r="E28" i="75"/>
  <c r="F28" i="75"/>
  <c r="J28" i="75" s="1"/>
  <c r="G28" i="75"/>
  <c r="H28" i="75" s="1"/>
  <c r="L28" i="75" s="1"/>
  <c r="I28" i="75"/>
  <c r="B29" i="75"/>
  <c r="C29" i="75"/>
  <c r="D29" i="75"/>
  <c r="E29" i="75"/>
  <c r="F29" i="75"/>
  <c r="J29" i="75" s="1"/>
  <c r="G29" i="75"/>
  <c r="H29" i="75" s="1"/>
  <c r="L29" i="75" s="1"/>
  <c r="I29" i="75"/>
  <c r="B30" i="75"/>
  <c r="C30" i="75"/>
  <c r="D30" i="75"/>
  <c r="E30" i="75"/>
  <c r="F30" i="75"/>
  <c r="J30" i="75" s="1"/>
  <c r="G30" i="75"/>
  <c r="H30" i="75" s="1"/>
  <c r="L30" i="75" s="1"/>
  <c r="I30" i="75"/>
  <c r="B31" i="75"/>
  <c r="C31" i="75"/>
  <c r="D31" i="75"/>
  <c r="E31" i="75"/>
  <c r="F31" i="75"/>
  <c r="J31" i="75" s="1"/>
  <c r="G31" i="75"/>
  <c r="H31" i="75" s="1"/>
  <c r="L31" i="75" s="1"/>
  <c r="I31" i="75"/>
  <c r="B56" i="75"/>
  <c r="E56" i="75" s="1"/>
  <c r="C56" i="75"/>
  <c r="D56" i="75"/>
  <c r="B57" i="75"/>
  <c r="C57" i="75"/>
  <c r="D69" i="75" s="1" a="1"/>
  <c r="D69" i="75" s="1"/>
  <c r="D70" i="75" s="1"/>
  <c r="D57" i="75"/>
  <c r="E57" i="75" s="1"/>
  <c r="B58" i="75"/>
  <c r="D58" i="75" s="1"/>
  <c r="C58" i="75"/>
  <c r="B59" i="75"/>
  <c r="E59" i="75" s="1"/>
  <c r="C59" i="75"/>
  <c r="D59" i="75"/>
  <c r="B60" i="75"/>
  <c r="C60" i="75"/>
  <c r="D60" i="75"/>
  <c r="E60" i="75" s="1"/>
  <c r="B61" i="75"/>
  <c r="D61" i="75" s="1"/>
  <c r="C61" i="75"/>
  <c r="C24" i="74"/>
  <c r="C25" i="74"/>
  <c r="D33" i="74"/>
  <c r="D34" i="74" s="1"/>
  <c r="D35" i="74" s="1"/>
  <c r="D36" i="74" s="1"/>
  <c r="D37" i="74" s="1"/>
  <c r="D38" i="74" s="1"/>
  <c r="D39" i="74" s="1"/>
  <c r="D40" i="74" s="1"/>
  <c r="D41" i="74" s="1"/>
  <c r="D42" i="74" s="1"/>
  <c r="D43" i="74" s="1"/>
  <c r="D44" i="74" s="1"/>
  <c r="D45" i="74" s="1"/>
  <c r="D46" i="74" s="1"/>
  <c r="D47" i="74" s="1"/>
  <c r="D48" i="74" s="1"/>
  <c r="E27" i="73"/>
  <c r="G31" i="73" s="1"/>
  <c r="G33" i="73" s="1"/>
  <c r="D30" i="73"/>
  <c r="E30" i="73"/>
  <c r="F30" i="73"/>
  <c r="G30" i="73"/>
  <c r="H30" i="73" s="1"/>
  <c r="D31" i="73"/>
  <c r="E31" i="73"/>
  <c r="F31" i="73"/>
  <c r="H31" i="73" s="1"/>
  <c r="D32" i="73"/>
  <c r="E32" i="73"/>
  <c r="F32" i="73"/>
  <c r="D33" i="73"/>
  <c r="E33" i="73"/>
  <c r="F33" i="73"/>
  <c r="H33" i="73" s="1"/>
  <c r="B14" i="72"/>
  <c r="B19" i="72"/>
  <c r="B24" i="72"/>
  <c r="B29" i="72"/>
  <c r="B38" i="72"/>
  <c r="A28" i="71"/>
  <c r="B28" i="71"/>
  <c r="C28" i="71"/>
  <c r="D28" i="71"/>
  <c r="K28" i="71"/>
  <c r="A29" i="71"/>
  <c r="B29" i="71"/>
  <c r="C29" i="71"/>
  <c r="D29" i="71"/>
  <c r="K29" i="71"/>
  <c r="B30" i="71"/>
  <c r="A30" i="71" s="1"/>
  <c r="C30" i="71"/>
  <c r="D30" i="71"/>
  <c r="K30" i="71"/>
  <c r="C33" i="71"/>
  <c r="C34" i="71"/>
  <c r="C35" i="71"/>
  <c r="K38" i="71"/>
  <c r="D47" i="71"/>
  <c r="E47" i="71"/>
  <c r="D48" i="71"/>
  <c r="E48" i="71"/>
  <c r="D49" i="71"/>
  <c r="E49" i="71"/>
  <c r="B31" i="70"/>
  <c r="G31" i="70" s="1"/>
  <c r="C31" i="70"/>
  <c r="D31" i="70"/>
  <c r="E31" i="70" s="1"/>
  <c r="F31" i="70" s="1"/>
  <c r="H31" i="70" s="1"/>
  <c r="K31" i="70"/>
  <c r="B32" i="70"/>
  <c r="C32" i="70"/>
  <c r="D32" i="70"/>
  <c r="E32" i="70" s="1"/>
  <c r="F32" i="70" s="1"/>
  <c r="H32" i="70" s="1"/>
  <c r="G32" i="70"/>
  <c r="K32" i="70"/>
  <c r="G33" i="70" s="1"/>
  <c r="B33" i="70"/>
  <c r="D33" i="70" s="1"/>
  <c r="E33" i="70" s="1"/>
  <c r="F33" i="70" s="1"/>
  <c r="C33" i="70"/>
  <c r="H33" i="70"/>
  <c r="K33" i="70"/>
  <c r="B34" i="70"/>
  <c r="C34" i="70"/>
  <c r="D34" i="70"/>
  <c r="E34" i="70"/>
  <c r="F34" i="70" s="1"/>
  <c r="B35" i="70"/>
  <c r="D35" i="70" s="1"/>
  <c r="E35" i="70" s="1"/>
  <c r="F35" i="70" s="1"/>
  <c r="C35" i="70"/>
  <c r="B36" i="70"/>
  <c r="C36" i="70"/>
  <c r="H38" i="70"/>
  <c r="D68" i="70"/>
  <c r="E68" i="70"/>
  <c r="F68" i="70"/>
  <c r="H68" i="70" s="1"/>
  <c r="G68" i="70"/>
  <c r="D69" i="70"/>
  <c r="E69" i="70"/>
  <c r="F69" i="70"/>
  <c r="G69" i="70"/>
  <c r="H69" i="70"/>
  <c r="B7" i="69"/>
  <c r="C38" i="69"/>
  <c r="C44" i="69"/>
  <c r="E44" i="69"/>
  <c r="F44" i="69"/>
  <c r="G44" i="69"/>
  <c r="H44" i="69"/>
  <c r="I44" i="69"/>
  <c r="C50" i="69"/>
  <c r="D50" i="69"/>
  <c r="C51" i="69"/>
  <c r="F51" i="69" s="1"/>
  <c r="D51" i="69"/>
  <c r="E51" i="69"/>
  <c r="C52" i="69"/>
  <c r="F52" i="69" s="1"/>
  <c r="D52" i="69"/>
  <c r="E52" i="69"/>
  <c r="C31" i="68"/>
  <c r="C34" i="68" s="1"/>
  <c r="C32" i="68"/>
  <c r="F40" i="68"/>
  <c r="F65" i="68" s="1"/>
  <c r="H65" i="68" s="1"/>
  <c r="G40" i="68"/>
  <c r="H40" i="68"/>
  <c r="F41" i="68"/>
  <c r="H41" i="68" s="1"/>
  <c r="G41" i="68"/>
  <c r="G66" i="68" s="1"/>
  <c r="C42" i="68"/>
  <c r="F42" i="68"/>
  <c r="G42" i="68"/>
  <c r="H42" i="68"/>
  <c r="I42" i="68"/>
  <c r="F43" i="68"/>
  <c r="G43" i="68"/>
  <c r="F44" i="68"/>
  <c r="H44" i="68" s="1"/>
  <c r="G44" i="68"/>
  <c r="F45" i="68"/>
  <c r="G45" i="68"/>
  <c r="H45" i="68"/>
  <c r="F46" i="68"/>
  <c r="F71" i="68" s="1"/>
  <c r="H71" i="68" s="1"/>
  <c r="G46" i="68"/>
  <c r="G71" i="68" s="1"/>
  <c r="H46" i="68"/>
  <c r="F47" i="68"/>
  <c r="G47" i="68"/>
  <c r="G72" i="68" s="1"/>
  <c r="H47" i="68"/>
  <c r="B62" i="68"/>
  <c r="C67" i="68"/>
  <c r="F67" i="68"/>
  <c r="H67" i="68" s="1"/>
  <c r="I67" i="68" s="1"/>
  <c r="G67" i="68"/>
  <c r="G68" i="68"/>
  <c r="F69" i="68"/>
  <c r="H69" i="68" s="1"/>
  <c r="G69" i="68"/>
  <c r="F70" i="68"/>
  <c r="G70" i="68"/>
  <c r="H70" i="68"/>
  <c r="F72" i="68"/>
  <c r="H72" i="68" s="1"/>
  <c r="B17" i="67"/>
  <c r="B18" i="67" s="1"/>
  <c r="C38" i="67"/>
  <c r="C39" i="67"/>
  <c r="C41" i="67"/>
  <c r="D58" i="67"/>
  <c r="E58" i="67"/>
  <c r="F58" i="67"/>
  <c r="A59" i="67"/>
  <c r="B59" i="67"/>
  <c r="D59" i="67"/>
  <c r="E59" i="67"/>
  <c r="F59" i="67"/>
  <c r="A60" i="67"/>
  <c r="B60" i="67"/>
  <c r="D60" i="67"/>
  <c r="E60" i="67"/>
  <c r="F60" i="67"/>
  <c r="A61" i="67"/>
  <c r="B61" i="67"/>
  <c r="D61" i="67"/>
  <c r="E61" i="67"/>
  <c r="F61" i="67"/>
  <c r="A62" i="67"/>
  <c r="B62" i="67"/>
  <c r="B65" i="67"/>
  <c r="C18" i="66"/>
  <c r="C22" i="66"/>
  <c r="C23" i="66"/>
  <c r="C24" i="66"/>
  <c r="C25" i="66"/>
  <c r="C26" i="66" s="1"/>
  <c r="C27" i="66" s="1"/>
  <c r="C28" i="66" s="1"/>
  <c r="C29" i="66" s="1"/>
  <c r="C30" i="66" s="1"/>
  <c r="C31" i="66" s="1"/>
  <c r="C32" i="66" s="1"/>
  <c r="C33" i="66" s="1"/>
  <c r="C66" i="66"/>
  <c r="D66" i="66"/>
  <c r="E66" i="66"/>
  <c r="F66" i="66"/>
  <c r="G66" i="66" s="1"/>
  <c r="E67" i="66"/>
  <c r="C30" i="65"/>
  <c r="G30" i="65"/>
  <c r="C31" i="65"/>
  <c r="G31" i="65"/>
  <c r="C32" i="65"/>
  <c r="G32" i="65"/>
  <c r="A35" i="65"/>
  <c r="B35" i="65"/>
  <c r="C35" i="65"/>
  <c r="D35" i="65"/>
  <c r="E35" i="65"/>
  <c r="H35" i="65"/>
  <c r="A36" i="65"/>
  <c r="B36" i="65"/>
  <c r="C36" i="65"/>
  <c r="D36" i="65"/>
  <c r="E36" i="65"/>
  <c r="H36" i="65"/>
  <c r="A37" i="65"/>
  <c r="B37" i="65"/>
  <c r="C37" i="65"/>
  <c r="D37" i="65"/>
  <c r="E37" i="65"/>
  <c r="F37" i="65" s="1"/>
  <c r="G37" i="65" s="1"/>
  <c r="H37" i="65"/>
  <c r="I37" i="65" s="1"/>
  <c r="J37" i="65" s="1"/>
  <c r="A38" i="65"/>
  <c r="B38" i="65"/>
  <c r="C38" i="65"/>
  <c r="D38" i="65"/>
  <c r="E38" i="65"/>
  <c r="H38" i="65"/>
  <c r="A39" i="65"/>
  <c r="B39" i="65"/>
  <c r="C39" i="65"/>
  <c r="D39" i="65"/>
  <c r="E39" i="65"/>
  <c r="H39" i="65"/>
  <c r="K39" i="65"/>
  <c r="A40" i="65"/>
  <c r="B40" i="65"/>
  <c r="C40" i="65"/>
  <c r="D40" i="65"/>
  <c r="E40" i="65"/>
  <c r="F40" i="65" s="1"/>
  <c r="G40" i="65" s="1"/>
  <c r="H40" i="65"/>
  <c r="I40" i="65" s="1"/>
  <c r="J40" i="65" s="1"/>
  <c r="L40" i="65" s="1"/>
  <c r="K40" i="65"/>
  <c r="D19" i="64"/>
  <c r="E19" i="64"/>
  <c r="F19" i="64"/>
  <c r="G19" i="64"/>
  <c r="H19" i="64"/>
  <c r="J19" i="64"/>
  <c r="K19" i="64"/>
  <c r="L19" i="64"/>
  <c r="M19" i="64"/>
  <c r="D20" i="64"/>
  <c r="C25" i="64" s="1"/>
  <c r="E20" i="64"/>
  <c r="J20" i="64" s="1"/>
  <c r="F20" i="64"/>
  <c r="K20" i="64" s="1"/>
  <c r="G20" i="64"/>
  <c r="L20" i="64" s="1"/>
  <c r="H20" i="64"/>
  <c r="M20" i="64"/>
  <c r="B25" i="64"/>
  <c r="E25" i="64"/>
  <c r="F25" i="64"/>
  <c r="C32" i="64"/>
  <c r="C33" i="64" s="1"/>
  <c r="C34" i="64" s="1"/>
  <c r="C35" i="64" s="1"/>
  <c r="C36" i="64" s="1"/>
  <c r="B41" i="64"/>
  <c r="B46" i="64"/>
  <c r="B16" i="63"/>
  <c r="C16" i="63"/>
  <c r="D16" i="63"/>
  <c r="E16" i="63"/>
  <c r="F16" i="63"/>
  <c r="B17" i="63"/>
  <c r="C17" i="63"/>
  <c r="D17" i="63"/>
  <c r="E17" i="63" s="1"/>
  <c r="F17" i="63" s="1"/>
  <c r="B18" i="63"/>
  <c r="C18" i="63"/>
  <c r="D18" i="63"/>
  <c r="E18" i="63" s="1"/>
  <c r="F18" i="63" s="1"/>
  <c r="B19" i="63"/>
  <c r="C19" i="63"/>
  <c r="D19" i="63"/>
  <c r="E19" i="63" s="1"/>
  <c r="B20" i="63"/>
  <c r="C20" i="63"/>
  <c r="D20" i="63"/>
  <c r="E20" i="63"/>
  <c r="D33" i="63"/>
  <c r="B42" i="63"/>
  <c r="C42" i="63"/>
  <c r="B43" i="63"/>
  <c r="C43" i="63"/>
  <c r="B44" i="63"/>
  <c r="C44" i="63"/>
  <c r="B45" i="63"/>
  <c r="C45" i="63"/>
  <c r="B46" i="63"/>
  <c r="C46" i="63"/>
  <c r="C61" i="63"/>
  <c r="C62" i="63"/>
  <c r="C67" i="63" s="1" a="1"/>
  <c r="C67" i="63" s="1"/>
  <c r="B70" i="63" s="1"/>
  <c r="C63" i="63"/>
  <c r="C64" i="63"/>
  <c r="C65" i="63"/>
  <c r="E42" i="62"/>
  <c r="E43" i="62" s="1"/>
  <c r="E54" i="62" s="1"/>
  <c r="C24" i="61"/>
  <c r="D25" i="61" s="1"/>
  <c r="F24" i="61"/>
  <c r="C25" i="61"/>
  <c r="E25" i="61" s="1"/>
  <c r="F25" i="61"/>
  <c r="C26" i="61"/>
  <c r="D27" i="61" s="1"/>
  <c r="D26" i="61"/>
  <c r="E26" i="61"/>
  <c r="F26" i="61"/>
  <c r="G26" i="61" s="1"/>
  <c r="H26" i="61" s="1"/>
  <c r="C27" i="61"/>
  <c r="E27" i="61"/>
  <c r="F27" i="61"/>
  <c r="G27" i="61" s="1"/>
  <c r="H27" i="61" s="1"/>
  <c r="B37" i="60"/>
  <c r="C37" i="60"/>
  <c r="G37" i="60" s="1"/>
  <c r="D37" i="60"/>
  <c r="E37" i="60"/>
  <c r="B38" i="60"/>
  <c r="C38" i="60"/>
  <c r="D38" i="60"/>
  <c r="E38" i="60"/>
  <c r="G38" i="60"/>
  <c r="I38" i="60" s="1"/>
  <c r="H38" i="60"/>
  <c r="B39" i="60"/>
  <c r="C39" i="60"/>
  <c r="D39" i="60"/>
  <c r="H39" i="60" s="1"/>
  <c r="E39" i="60"/>
  <c r="I39" i="60"/>
  <c r="B40" i="60"/>
  <c r="C40" i="60"/>
  <c r="D40" i="60"/>
  <c r="E40" i="60"/>
  <c r="G40" i="60"/>
  <c r="H40" i="60" s="1"/>
  <c r="C33" i="59"/>
  <c r="D37" i="59"/>
  <c r="E37" i="59"/>
  <c r="F37" i="59"/>
  <c r="G37" i="59" s="1"/>
  <c r="D38" i="59"/>
  <c r="E38" i="59"/>
  <c r="F38" i="59"/>
  <c r="G38" i="59" s="1"/>
  <c r="H38" i="59" s="1"/>
  <c r="D39" i="59"/>
  <c r="E39" i="59"/>
  <c r="F39" i="59" s="1"/>
  <c r="G39" i="59" s="1"/>
  <c r="H39" i="59" s="1"/>
  <c r="I39" i="59" s="1"/>
  <c r="D40" i="59"/>
  <c r="E40" i="59"/>
  <c r="F40" i="59"/>
  <c r="G40" i="59"/>
  <c r="H40" i="59" s="1"/>
  <c r="I40" i="59" s="1"/>
  <c r="J40" i="59" s="1"/>
  <c r="C26" i="58"/>
  <c r="C31" i="58" s="1" a="1"/>
  <c r="C31" i="58" s="1"/>
  <c r="D47" i="58" s="1"/>
  <c r="E47" i="58" s="1"/>
  <c r="F47" i="58" s="1"/>
  <c r="F26" i="58"/>
  <c r="C27" i="58"/>
  <c r="C32" i="58" s="1" a="1"/>
  <c r="C32" i="58" s="1"/>
  <c r="D46" i="58" s="1"/>
  <c r="E46" i="58" s="1"/>
  <c r="F46" i="58" s="1"/>
  <c r="F27" i="58"/>
  <c r="C28" i="58"/>
  <c r="C33" i="58" s="1" a="1"/>
  <c r="C33" i="58" s="1"/>
  <c r="F28" i="58"/>
  <c r="C29" i="58"/>
  <c r="F29" i="58"/>
  <c r="C34" i="58" a="1"/>
  <c r="C34" i="58"/>
  <c r="B45" i="58"/>
  <c r="C45" i="58"/>
  <c r="B46" i="58"/>
  <c r="C46" i="58"/>
  <c r="B47" i="58"/>
  <c r="C47" i="58"/>
  <c r="B30" i="57"/>
  <c r="D30" i="57"/>
  <c r="E30" i="57"/>
  <c r="F30" i="57"/>
  <c r="G30" i="57" a="1"/>
  <c r="G30" i="57" s="1"/>
  <c r="B31" i="57"/>
  <c r="B42" i="57" s="1"/>
  <c r="B53" i="57" s="1"/>
  <c r="D31" i="57"/>
  <c r="E31" i="57"/>
  <c r="F31" i="57" s="1"/>
  <c r="B32" i="57"/>
  <c r="D32" i="57"/>
  <c r="D35" i="57" s="1"/>
  <c r="E32" i="57"/>
  <c r="B33" i="57"/>
  <c r="D33" i="57"/>
  <c r="E33" i="57"/>
  <c r="B34" i="57"/>
  <c r="B45" i="57" s="1"/>
  <c r="B57" i="57" s="1"/>
  <c r="D34" i="57"/>
  <c r="E34" i="57"/>
  <c r="B41" i="57"/>
  <c r="B43" i="57"/>
  <c r="B55" i="57" s="1"/>
  <c r="B44" i="57"/>
  <c r="B52" i="57"/>
  <c r="B56" i="57"/>
  <c r="C34" i="56"/>
  <c r="D35" i="56"/>
  <c r="E36" i="56"/>
  <c r="F37" i="56"/>
  <c r="G38" i="56"/>
  <c r="H39" i="56"/>
  <c r="C46" i="56"/>
  <c r="C47" i="56"/>
  <c r="D47" i="56"/>
  <c r="C48" i="56"/>
  <c r="D48" i="56"/>
  <c r="E48" i="56"/>
  <c r="D49" i="56"/>
  <c r="E49" i="56"/>
  <c r="F49" i="56"/>
  <c r="E50" i="56"/>
  <c r="F50" i="56"/>
  <c r="G50" i="56"/>
  <c r="F51" i="56"/>
  <c r="G51" i="56"/>
  <c r="H51" i="56"/>
  <c r="C58" i="56"/>
  <c r="C59" i="56"/>
  <c r="D59" i="56"/>
  <c r="C60" i="56"/>
  <c r="D60" i="56"/>
  <c r="E60" i="56"/>
  <c r="C61" i="56"/>
  <c r="D61" i="56"/>
  <c r="E61" i="56"/>
  <c r="F61" i="56"/>
  <c r="C62" i="56"/>
  <c r="D62" i="56"/>
  <c r="E62" i="56"/>
  <c r="F62" i="56"/>
  <c r="G62" i="56"/>
  <c r="C63" i="56"/>
  <c r="D63" i="56"/>
  <c r="E63" i="56"/>
  <c r="F63" i="56"/>
  <c r="G63" i="56"/>
  <c r="H63" i="56"/>
  <c r="B39" i="55"/>
  <c r="C39" i="55"/>
  <c r="D39" i="55"/>
  <c r="E39" i="55"/>
  <c r="E41" i="55" s="1"/>
  <c r="F41" i="55" s="1"/>
  <c r="B40" i="55"/>
  <c r="C40" i="55"/>
  <c r="D40" i="55"/>
  <c r="E40" i="55"/>
  <c r="D41" i="55"/>
  <c r="C30" i="54"/>
  <c r="C31" i="54"/>
  <c r="C44" i="54" s="1"/>
  <c r="B54" i="54" s="1"/>
  <c r="C45" i="54"/>
  <c r="C30" i="53"/>
  <c r="D30" i="53"/>
  <c r="E30" i="53"/>
  <c r="F30" i="53"/>
  <c r="G30" i="53"/>
  <c r="D32" i="53"/>
  <c r="D34" i="53" s="1"/>
  <c r="D35" i="53" s="1"/>
  <c r="E32" i="53"/>
  <c r="F32" i="53"/>
  <c r="G32" i="53"/>
  <c r="C34" i="53"/>
  <c r="E34" i="53"/>
  <c r="F34" i="53"/>
  <c r="F35" i="53" s="1"/>
  <c r="F41" i="53" s="1"/>
  <c r="F44" i="53" s="1"/>
  <c r="G34" i="53"/>
  <c r="G35" i="53" s="1"/>
  <c r="C35" i="53"/>
  <c r="C41" i="53" s="1"/>
  <c r="C44" i="53" s="1"/>
  <c r="E35" i="53"/>
  <c r="C38" i="53"/>
  <c r="D38" i="53"/>
  <c r="E38" i="53"/>
  <c r="E41" i="53" s="1"/>
  <c r="E44" i="53" s="1"/>
  <c r="F38" i="53"/>
  <c r="G38" i="53"/>
  <c r="G41" i="53" s="1"/>
  <c r="G44" i="53" s="1"/>
  <c r="C40" i="53"/>
  <c r="C43" i="53" s="1"/>
  <c r="D40" i="53"/>
  <c r="E40" i="53"/>
  <c r="F40" i="53"/>
  <c r="F43" i="53" s="1"/>
  <c r="G40" i="53"/>
  <c r="G43" i="53" s="1"/>
  <c r="D43" i="53"/>
  <c r="E43" i="53"/>
  <c r="B28" i="52"/>
  <c r="C28" i="52"/>
  <c r="C30" i="52" s="1"/>
  <c r="D28" i="52"/>
  <c r="F28" i="52" s="1"/>
  <c r="F30" i="52" s="1"/>
  <c r="E41" i="52" s="1"/>
  <c r="E28" i="52"/>
  <c r="B29" i="52"/>
  <c r="C29" i="52"/>
  <c r="F29" i="52" s="1"/>
  <c r="D29" i="52"/>
  <c r="E29" i="52"/>
  <c r="B35" i="52"/>
  <c r="C35" i="52"/>
  <c r="D35" i="52"/>
  <c r="E35" i="52" s="1"/>
  <c r="H35" i="52" s="1"/>
  <c r="F35" i="52"/>
  <c r="G35" i="52"/>
  <c r="C36" i="52"/>
  <c r="D36" i="52"/>
  <c r="E36" i="52"/>
  <c r="F36" i="52"/>
  <c r="H36" i="52" s="1"/>
  <c r="G36" i="52"/>
  <c r="B37" i="52"/>
  <c r="C37" i="52"/>
  <c r="D37" i="52"/>
  <c r="E37" i="52"/>
  <c r="H37" i="52" s="1"/>
  <c r="F37" i="52"/>
  <c r="G37" i="52"/>
  <c r="C38" i="52"/>
  <c r="D38" i="52"/>
  <c r="E38" i="52"/>
  <c r="F38" i="52"/>
  <c r="G38" i="52"/>
  <c r="H38" i="52"/>
  <c r="E49" i="52"/>
  <c r="C43" i="51"/>
  <c r="E43" i="51" s="1"/>
  <c r="D43" i="51"/>
  <c r="C44" i="51"/>
  <c r="D44" i="51"/>
  <c r="E44" i="51" s="1"/>
  <c r="E45" i="51"/>
  <c r="C48" i="51"/>
  <c r="D48" i="51"/>
  <c r="E48" i="51" s="1"/>
  <c r="C49" i="51"/>
  <c r="D49" i="51"/>
  <c r="E49" i="51" s="1"/>
  <c r="F49" i="51" s="1"/>
  <c r="E50" i="51"/>
  <c r="C52" i="51"/>
  <c r="F22" i="50"/>
  <c r="F24" i="50"/>
  <c r="F26" i="50"/>
  <c r="F27" i="50" s="1"/>
  <c r="F28" i="50" s="1"/>
  <c r="C57" i="50"/>
  <c r="D57" i="50"/>
  <c r="E57" i="50" s="1"/>
  <c r="F57" i="50" s="1"/>
  <c r="G57" i="50" s="1"/>
  <c r="C58" i="50"/>
  <c r="D58" i="50"/>
  <c r="E58" i="50"/>
  <c r="F58" i="50"/>
  <c r="G58" i="50" s="1"/>
  <c r="C59" i="50"/>
  <c r="D59" i="50"/>
  <c r="E59" i="50"/>
  <c r="F59" i="50"/>
  <c r="G59" i="50" s="1"/>
  <c r="E10" i="49"/>
  <c r="F10" i="49"/>
  <c r="F35" i="49" s="1"/>
  <c r="F20" i="49"/>
  <c r="F23" i="49"/>
  <c r="F24" i="49"/>
  <c r="F34" i="49"/>
  <c r="C25" i="48"/>
  <c r="D25" i="48"/>
  <c r="E25" i="48"/>
  <c r="F25" i="48"/>
  <c r="G25" i="48"/>
  <c r="H25" i="48"/>
  <c r="C26" i="48"/>
  <c r="F26" i="48" s="1"/>
  <c r="D26" i="48"/>
  <c r="E26" i="48"/>
  <c r="C27" i="48"/>
  <c r="D27" i="48"/>
  <c r="E27" i="48"/>
  <c r="F27" i="48"/>
  <c r="G27" i="48"/>
  <c r="H27" i="48"/>
  <c r="D50" i="48"/>
  <c r="E50" i="48"/>
  <c r="G50" i="48" s="1"/>
  <c r="F50" i="48"/>
  <c r="B51" i="48"/>
  <c r="D51" i="48"/>
  <c r="E51" i="48"/>
  <c r="E52" i="48" s="1"/>
  <c r="G52" i="48" s="1"/>
  <c r="F51" i="48"/>
  <c r="F54" i="48" s="1"/>
  <c r="F57" i="48" s="1"/>
  <c r="B52" i="48"/>
  <c r="D52" i="48"/>
  <c r="F52" i="48"/>
  <c r="C53" i="48"/>
  <c r="D53" i="48"/>
  <c r="E53" i="48"/>
  <c r="E54" i="48" s="1"/>
  <c r="F53" i="48"/>
  <c r="F56" i="48" s="1"/>
  <c r="C54" i="48"/>
  <c r="C57" i="48" s="1"/>
  <c r="D54" i="48"/>
  <c r="C55" i="48"/>
  <c r="D55" i="48"/>
  <c r="F55" i="48"/>
  <c r="F58" i="48" s="1"/>
  <c r="C56" i="48"/>
  <c r="D56" i="48"/>
  <c r="E56" i="48"/>
  <c r="D57" i="48"/>
  <c r="E57" i="48"/>
  <c r="E58" i="48" s="1"/>
  <c r="G58" i="48" s="1"/>
  <c r="C58" i="48"/>
  <c r="D58" i="48"/>
  <c r="E70" i="48"/>
  <c r="F70" i="48"/>
  <c r="G70" i="48"/>
  <c r="C73" i="48"/>
  <c r="C78" i="48" s="1"/>
  <c r="C74" i="48"/>
  <c r="C79" i="48" s="1"/>
  <c r="C75" i="48"/>
  <c r="C80" i="48" s="1"/>
  <c r="D29" i="47"/>
  <c r="E29" i="47" s="1"/>
  <c r="F29" i="47" s="1"/>
  <c r="D30" i="47"/>
  <c r="E30" i="47"/>
  <c r="F30" i="47" s="1"/>
  <c r="B31" i="47"/>
  <c r="B32" i="47" s="1"/>
  <c r="B33" i="47" s="1"/>
  <c r="D31" i="47"/>
  <c r="D36" i="47" s="1"/>
  <c r="D32" i="47"/>
  <c r="E32" i="47"/>
  <c r="F32" i="47" s="1"/>
  <c r="D33" i="47"/>
  <c r="E33" i="47"/>
  <c r="F33" i="47" s="1"/>
  <c r="D38" i="47" s="1"/>
  <c r="E46" i="47"/>
  <c r="E47" i="47"/>
  <c r="E48" i="47"/>
  <c r="D30" i="46"/>
  <c r="E30" i="46"/>
  <c r="F30" i="46"/>
  <c r="B31" i="46"/>
  <c r="D31" i="46"/>
  <c r="D37" i="46" s="1"/>
  <c r="E31" i="46"/>
  <c r="E37" i="46" s="1"/>
  <c r="F31" i="46"/>
  <c r="B32" i="46"/>
  <c r="D32" i="46"/>
  <c r="D38" i="46" s="1"/>
  <c r="D39" i="46" s="1"/>
  <c r="D40" i="46" s="1"/>
  <c r="C50" i="46" s="1"/>
  <c r="E32" i="46"/>
  <c r="E38" i="46" s="1"/>
  <c r="E39" i="46" s="1"/>
  <c r="E40" i="46" s="1"/>
  <c r="C51" i="46" s="1"/>
  <c r="F32" i="46"/>
  <c r="B33" i="46"/>
  <c r="D33" i="46"/>
  <c r="E33" i="46"/>
  <c r="F33" i="46"/>
  <c r="B34" i="46"/>
  <c r="D34" i="46"/>
  <c r="E34" i="46"/>
  <c r="F34" i="46"/>
  <c r="B35" i="46"/>
  <c r="D35" i="46"/>
  <c r="E35" i="46"/>
  <c r="F35" i="46"/>
  <c r="B36" i="46"/>
  <c r="D36" i="46"/>
  <c r="E36" i="46"/>
  <c r="F36" i="46"/>
  <c r="F37" i="46"/>
  <c r="F38" i="46"/>
  <c r="F39" i="46" s="1"/>
  <c r="F40" i="46" s="1"/>
  <c r="C52" i="46" s="1"/>
  <c r="D19" i="45"/>
  <c r="E19" i="45" s="1"/>
  <c r="F19" i="45" s="1"/>
  <c r="D20" i="45"/>
  <c r="E45" i="45" s="1"/>
  <c r="E20" i="45"/>
  <c r="F20" i="45" s="1"/>
  <c r="D21" i="45"/>
  <c r="E21" i="45"/>
  <c r="F21" i="45"/>
  <c r="D22" i="45"/>
  <c r="E22" i="45" s="1"/>
  <c r="E24" i="45"/>
  <c r="D39" i="45"/>
  <c r="E39" i="45"/>
  <c r="F39" i="45"/>
  <c r="C40" i="45"/>
  <c r="D40" i="45"/>
  <c r="E40" i="45"/>
  <c r="F40" i="45"/>
  <c r="C41" i="45"/>
  <c r="D41" i="45" s="1"/>
  <c r="C42" i="45"/>
  <c r="D42" i="45" s="1"/>
  <c r="E42" i="45" s="1"/>
  <c r="F42" i="45" s="1"/>
  <c r="E26" i="44"/>
  <c r="E30" i="44" s="1"/>
  <c r="D44" i="44"/>
  <c r="D45" i="44"/>
  <c r="D46" i="44"/>
  <c r="D48" i="44" s="1"/>
  <c r="D71" i="44" s="1"/>
  <c r="D73" i="44" s="1"/>
  <c r="C64" i="44"/>
  <c r="C65" i="44"/>
  <c r="C66" i="44"/>
  <c r="D92" i="44"/>
  <c r="F92" i="44" s="1"/>
  <c r="F95" i="44" s="1"/>
  <c r="D93" i="44"/>
  <c r="E93" i="44"/>
  <c r="F93" i="44"/>
  <c r="D94" i="44"/>
  <c r="E94" i="44"/>
  <c r="F94" i="44"/>
  <c r="D37" i="43"/>
  <c r="E37" i="43" s="1"/>
  <c r="F37" i="43" s="1"/>
  <c r="G37" i="43" s="1"/>
  <c r="A38" i="43"/>
  <c r="A39" i="43" s="1"/>
  <c r="A40" i="43" s="1"/>
  <c r="A41" i="43" s="1"/>
  <c r="A42" i="43" s="1"/>
  <c r="A43" i="43" s="1"/>
  <c r="A44" i="43" s="1"/>
  <c r="A45" i="43" s="1"/>
  <c r="A46" i="43" s="1"/>
  <c r="D38" i="43"/>
  <c r="E38" i="43"/>
  <c r="F38" i="43" s="1"/>
  <c r="G38" i="43" s="1"/>
  <c r="D39" i="43"/>
  <c r="E39" i="43" s="1"/>
  <c r="F39" i="43" s="1"/>
  <c r="G39" i="43" s="1"/>
  <c r="D40" i="43"/>
  <c r="E40" i="43"/>
  <c r="F40" i="43" s="1"/>
  <c r="G40" i="43" s="1"/>
  <c r="D41" i="43"/>
  <c r="E41" i="43" s="1"/>
  <c r="F41" i="43" s="1"/>
  <c r="G41" i="43" s="1"/>
  <c r="D42" i="43"/>
  <c r="E42" i="43" s="1"/>
  <c r="F42" i="43" s="1"/>
  <c r="G42" i="43" s="1"/>
  <c r="D43" i="43"/>
  <c r="E43" i="43"/>
  <c r="F43" i="43"/>
  <c r="G43" i="43" s="1"/>
  <c r="D44" i="43"/>
  <c r="E44" i="43"/>
  <c r="F44" i="43" s="1"/>
  <c r="G44" i="43" s="1"/>
  <c r="D45" i="43"/>
  <c r="E45" i="43" s="1"/>
  <c r="F45" i="43" s="1"/>
  <c r="G45" i="43" s="1"/>
  <c r="D46" i="43"/>
  <c r="E46" i="43" s="1"/>
  <c r="F46" i="43" s="1"/>
  <c r="G46" i="43" s="1"/>
  <c r="E39" i="42"/>
  <c r="E43" i="42" s="1"/>
  <c r="F39" i="42"/>
  <c r="F43" i="42" s="1"/>
  <c r="E40" i="42"/>
  <c r="F40" i="42" s="1"/>
  <c r="E41" i="42"/>
  <c r="F41" i="42" s="1"/>
  <c r="E42" i="42"/>
  <c r="F42" i="42" s="1"/>
  <c r="D43" i="42"/>
  <c r="E47" i="42"/>
  <c r="F47" i="42"/>
  <c r="F50" i="42" s="1"/>
  <c r="E48" i="42"/>
  <c r="F48" i="42"/>
  <c r="E49" i="42"/>
  <c r="F49" i="42"/>
  <c r="B54" i="42" s="1"/>
  <c r="E50" i="42"/>
  <c r="B53" i="42" s="1"/>
  <c r="G27" i="41"/>
  <c r="G29" i="41"/>
  <c r="G31" i="41"/>
  <c r="D49" i="41"/>
  <c r="E50" i="41" s="1"/>
  <c r="F51" i="41" s="1"/>
  <c r="G52" i="41" s="1"/>
  <c r="C50" i="41"/>
  <c r="D50" i="41"/>
  <c r="E51" i="41" s="1"/>
  <c r="F52" i="41" s="1"/>
  <c r="C51" i="41"/>
  <c r="D51" i="41"/>
  <c r="E52" i="41" s="1"/>
  <c r="D52" i="41"/>
  <c r="C43" i="40"/>
  <c r="D43" i="40"/>
  <c r="E43" i="40"/>
  <c r="F43" i="40"/>
  <c r="G43" i="40"/>
  <c r="H43" i="40"/>
  <c r="B44" i="40"/>
  <c r="C44" i="40"/>
  <c r="C53" i="40" s="1"/>
  <c r="C54" i="40" s="1"/>
  <c r="D68" i="40" s="1"/>
  <c r="D44" i="40"/>
  <c r="E44" i="40"/>
  <c r="F44" i="40"/>
  <c r="F50" i="40" s="1"/>
  <c r="F54" i="40" s="1"/>
  <c r="D65" i="40" s="1"/>
  <c r="G44" i="40"/>
  <c r="G50" i="40" s="1"/>
  <c r="G54" i="40" s="1"/>
  <c r="D64" i="40" s="1"/>
  <c r="H44" i="40"/>
  <c r="B45" i="40"/>
  <c r="C45" i="40"/>
  <c r="D45" i="40"/>
  <c r="E45" i="40"/>
  <c r="F45" i="40"/>
  <c r="G45" i="40"/>
  <c r="B46" i="40"/>
  <c r="C46" i="40"/>
  <c r="D46" i="40"/>
  <c r="E46" i="40"/>
  <c r="E53" i="40" s="1"/>
  <c r="F46" i="40"/>
  <c r="B47" i="40"/>
  <c r="C47" i="40"/>
  <c r="D47" i="40"/>
  <c r="E47" i="40"/>
  <c r="B48" i="40"/>
  <c r="C48" i="40"/>
  <c r="D48" i="40"/>
  <c r="D50" i="40" s="1"/>
  <c r="B49" i="40"/>
  <c r="C49" i="40"/>
  <c r="E50" i="40"/>
  <c r="E54" i="40" s="1"/>
  <c r="D66" i="40" s="1"/>
  <c r="H50" i="40"/>
  <c r="C51" i="40"/>
  <c r="D51" i="40"/>
  <c r="C52" i="40"/>
  <c r="D53" i="40"/>
  <c r="D54" i="40" s="1"/>
  <c r="D67" i="40" s="1"/>
  <c r="H54" i="40"/>
  <c r="I54" i="40" s="1"/>
  <c r="D62" i="40" s="1"/>
  <c r="E62" i="40" s="1"/>
  <c r="B62" i="40"/>
  <c r="C62" i="40"/>
  <c r="C69" i="40" s="1"/>
  <c r="B63" i="40"/>
  <c r="C63" i="40"/>
  <c r="D63" i="40"/>
  <c r="B64" i="40"/>
  <c r="C64" i="40"/>
  <c r="B65" i="40"/>
  <c r="C65" i="40"/>
  <c r="C136" i="40" s="1"/>
  <c r="B66" i="40"/>
  <c r="C66" i="40"/>
  <c r="B67" i="40"/>
  <c r="C67" i="40"/>
  <c r="B68" i="40"/>
  <c r="C68" i="40"/>
  <c r="C139" i="40" s="1"/>
  <c r="D76" i="40"/>
  <c r="E84" i="40" s="1"/>
  <c r="C79" i="40"/>
  <c r="D79" i="40"/>
  <c r="B80" i="40"/>
  <c r="C80" i="40"/>
  <c r="D80" i="40"/>
  <c r="B81" i="40"/>
  <c r="B82" i="40" s="1"/>
  <c r="B83" i="40" s="1"/>
  <c r="B84" i="40" s="1"/>
  <c r="B85" i="40" s="1"/>
  <c r="C81" i="40"/>
  <c r="D81" i="40"/>
  <c r="C82" i="40"/>
  <c r="D82" i="40"/>
  <c r="C83" i="40"/>
  <c r="D83" i="40"/>
  <c r="C84" i="40"/>
  <c r="D84" i="40"/>
  <c r="C85" i="40"/>
  <c r="D85" i="40"/>
  <c r="E97" i="40"/>
  <c r="E107" i="40" s="1"/>
  <c r="E109" i="40" s="1"/>
  <c r="E116" i="40" s="1"/>
  <c r="C98" i="40"/>
  <c r="C99" i="40" s="1"/>
  <c r="C100" i="40" s="1"/>
  <c r="C101" i="40" s="1"/>
  <c r="C102" i="40" s="1"/>
  <c r="C103" i="40" s="1"/>
  <c r="E98" i="40"/>
  <c r="E99" i="40"/>
  <c r="E100" i="40"/>
  <c r="E101" i="40"/>
  <c r="E102" i="40"/>
  <c r="E103" i="40"/>
  <c r="E105" i="40"/>
  <c r="C119" i="40"/>
  <c r="D119" i="40"/>
  <c r="B120" i="40"/>
  <c r="B121" i="40" s="1"/>
  <c r="B122" i="40" s="1"/>
  <c r="B123" i="40" s="1"/>
  <c r="B124" i="40" s="1"/>
  <c r="B125" i="40" s="1"/>
  <c r="C120" i="40"/>
  <c r="D120" i="40"/>
  <c r="C121" i="40"/>
  <c r="D121" i="40"/>
  <c r="C122" i="40"/>
  <c r="D122" i="40"/>
  <c r="C123" i="40"/>
  <c r="D123" i="40"/>
  <c r="C124" i="40"/>
  <c r="D124" i="40"/>
  <c r="C125" i="40"/>
  <c r="D125" i="40"/>
  <c r="E125" i="40"/>
  <c r="C133" i="40"/>
  <c r="B134" i="40"/>
  <c r="B135" i="40" s="1"/>
  <c r="B136" i="40" s="1"/>
  <c r="B137" i="40" s="1"/>
  <c r="B138" i="40" s="1"/>
  <c r="B139" i="40" s="1"/>
  <c r="C134" i="40"/>
  <c r="C135" i="40"/>
  <c r="C137" i="40"/>
  <c r="C138" i="40"/>
  <c r="D160" i="40"/>
  <c r="C186" i="40"/>
  <c r="H188" i="40"/>
  <c r="G189" i="40"/>
  <c r="C190" i="40"/>
  <c r="D190" i="40"/>
  <c r="E190" i="40"/>
  <c r="F190" i="40"/>
  <c r="G190" i="40"/>
  <c r="I190" i="40" s="1"/>
  <c r="H190" i="40"/>
  <c r="C191" i="40"/>
  <c r="C197" i="40" s="1"/>
  <c r="D191" i="40"/>
  <c r="F191" i="40" s="1"/>
  <c r="G191" i="40" s="1"/>
  <c r="I191" i="40" s="1"/>
  <c r="J191" i="40" s="1"/>
  <c r="E191" i="40"/>
  <c r="H191" i="40"/>
  <c r="C192" i="40"/>
  <c r="D192" i="40"/>
  <c r="E192" i="40"/>
  <c r="H192" i="40" s="1"/>
  <c r="F192" i="40"/>
  <c r="C193" i="40"/>
  <c r="D193" i="40"/>
  <c r="D197" i="40" s="1"/>
  <c r="E193" i="40"/>
  <c r="E197" i="40" s="1"/>
  <c r="C194" i="40"/>
  <c r="D194" i="40"/>
  <c r="E194" i="40"/>
  <c r="F194" i="40"/>
  <c r="H194" i="40"/>
  <c r="B195" i="40"/>
  <c r="B194" i="40" s="1"/>
  <c r="B193" i="40" s="1"/>
  <c r="B192" i="40" s="1"/>
  <c r="B191" i="40" s="1"/>
  <c r="B190" i="40" s="1"/>
  <c r="C195" i="40"/>
  <c r="D195" i="40"/>
  <c r="F195" i="40" s="1"/>
  <c r="G195" i="40" s="1"/>
  <c r="I195" i="40" s="1"/>
  <c r="J195" i="40" s="1"/>
  <c r="E195" i="40"/>
  <c r="H195" i="40"/>
  <c r="C196" i="40"/>
  <c r="D196" i="40"/>
  <c r="H196" i="40" s="1"/>
  <c r="E196" i="40"/>
  <c r="C33" i="39"/>
  <c r="D33" i="39"/>
  <c r="E33" i="39" s="1"/>
  <c r="G33" i="39"/>
  <c r="C34" i="39"/>
  <c r="D34" i="39"/>
  <c r="D52" i="39" s="1"/>
  <c r="E34" i="39"/>
  <c r="G34" i="39"/>
  <c r="C35" i="39"/>
  <c r="D35" i="39" s="1"/>
  <c r="G35" i="39"/>
  <c r="C36" i="39"/>
  <c r="D36" i="39" s="1"/>
  <c r="G36" i="39"/>
  <c r="C37" i="39"/>
  <c r="D37" i="39" s="1"/>
  <c r="G37" i="39"/>
  <c r="C38" i="39"/>
  <c r="D38" i="39"/>
  <c r="D56" i="39" s="1"/>
  <c r="E38" i="39"/>
  <c r="G38" i="39"/>
  <c r="C39" i="39"/>
  <c r="D39" i="39"/>
  <c r="D57" i="39" s="1"/>
  <c r="E39" i="39"/>
  <c r="G39" i="39"/>
  <c r="B40" i="39"/>
  <c r="F40" i="39" s="1"/>
  <c r="H40" i="39" s="1"/>
  <c r="C40" i="39"/>
  <c r="D40" i="39" s="1"/>
  <c r="C41" i="39"/>
  <c r="D41" i="39"/>
  <c r="D59" i="39" s="1"/>
  <c r="E41" i="39"/>
  <c r="F41" i="39"/>
  <c r="H41" i="39" s="1"/>
  <c r="I51" i="39"/>
  <c r="I52" i="39"/>
  <c r="I53" i="39"/>
  <c r="I60" i="39" s="1"/>
  <c r="I54" i="39"/>
  <c r="I55" i="39"/>
  <c r="I56" i="39"/>
  <c r="B57" i="39"/>
  <c r="B56" i="39" s="1"/>
  <c r="B55" i="39" s="1"/>
  <c r="B54" i="39" s="1"/>
  <c r="B53" i="39" s="1"/>
  <c r="B52" i="39" s="1"/>
  <c r="B51" i="39" s="1"/>
  <c r="I57" i="39"/>
  <c r="B58" i="39"/>
  <c r="I58" i="39"/>
  <c r="I59" i="39"/>
  <c r="C68" i="39"/>
  <c r="C69" i="39"/>
  <c r="C70" i="39"/>
  <c r="C71" i="39"/>
  <c r="C72" i="39"/>
  <c r="C73" i="39"/>
  <c r="B74" i="39"/>
  <c r="B73" i="39" s="1"/>
  <c r="B72" i="39" s="1"/>
  <c r="B71" i="39" s="1"/>
  <c r="B70" i="39" s="1"/>
  <c r="B69" i="39" s="1"/>
  <c r="B68" i="39" s="1"/>
  <c r="C74" i="39"/>
  <c r="B75" i="39"/>
  <c r="C75" i="39"/>
  <c r="C76" i="39"/>
  <c r="C77" i="39"/>
  <c r="C34" i="38"/>
  <c r="D34" i="38"/>
  <c r="F34" i="38" s="1"/>
  <c r="G34" i="38" s="1"/>
  <c r="H34" i="38" s="1"/>
  <c r="E34" i="38"/>
  <c r="I34" i="38" s="1"/>
  <c r="C35" i="38"/>
  <c r="C40" i="38" s="1"/>
  <c r="D35" i="38"/>
  <c r="F35" i="38" s="1"/>
  <c r="E35" i="38"/>
  <c r="I35" i="38" s="1"/>
  <c r="C36" i="38"/>
  <c r="D36" i="38"/>
  <c r="E36" i="38"/>
  <c r="F36" i="38"/>
  <c r="I36" i="38"/>
  <c r="C37" i="38"/>
  <c r="D37" i="38"/>
  <c r="F37" i="38" s="1"/>
  <c r="G37" i="38" s="1"/>
  <c r="E37" i="38"/>
  <c r="I37" i="38" s="1"/>
  <c r="C38" i="38"/>
  <c r="D38" i="38"/>
  <c r="F38" i="38" s="1"/>
  <c r="E38" i="38"/>
  <c r="I38" i="38" s="1"/>
  <c r="C39" i="38"/>
  <c r="D39" i="38"/>
  <c r="E39" i="38"/>
  <c r="F39" i="38"/>
  <c r="I39" i="38"/>
  <c r="C87" i="38"/>
  <c r="D87" i="38"/>
  <c r="E87" i="38"/>
  <c r="F87" i="38"/>
  <c r="G87" i="38"/>
  <c r="H87" i="38"/>
  <c r="C88" i="38"/>
  <c r="D88" i="38"/>
  <c r="E88" i="38"/>
  <c r="F88" i="38"/>
  <c r="G88" i="38"/>
  <c r="B89" i="38"/>
  <c r="B88" i="38" s="1"/>
  <c r="B87" i="38" s="1"/>
  <c r="C89" i="38"/>
  <c r="D89" i="38"/>
  <c r="E89" i="38"/>
  <c r="F89" i="38"/>
  <c r="B90" i="38"/>
  <c r="C90" i="38"/>
  <c r="D90" i="38"/>
  <c r="E90" i="38"/>
  <c r="B91" i="38"/>
  <c r="C91" i="38"/>
  <c r="D91" i="38"/>
  <c r="C92" i="38"/>
  <c r="C98" i="38"/>
  <c r="D98" i="38"/>
  <c r="E98" i="38"/>
  <c r="F98" i="38"/>
  <c r="G98" i="38"/>
  <c r="H98" i="38"/>
  <c r="C99" i="38"/>
  <c r="D99" i="38"/>
  <c r="E99" i="38"/>
  <c r="F99" i="38"/>
  <c r="G99" i="38"/>
  <c r="B100" i="38"/>
  <c r="B99" i="38" s="1"/>
  <c r="B98" i="38" s="1"/>
  <c r="C100" i="38"/>
  <c r="D100" i="38"/>
  <c r="E100" i="38"/>
  <c r="F100" i="38"/>
  <c r="B101" i="38"/>
  <c r="C101" i="38"/>
  <c r="D101" i="38"/>
  <c r="E101" i="38"/>
  <c r="B102" i="38"/>
  <c r="C102" i="38"/>
  <c r="D102" i="38"/>
  <c r="C103" i="38"/>
  <c r="C113" i="38"/>
  <c r="D113" i="38"/>
  <c r="E113" i="38"/>
  <c r="E122" i="38" s="1"/>
  <c r="F113" i="38"/>
  <c r="F122" i="38" s="1"/>
  <c r="G113" i="38"/>
  <c r="G122" i="38" s="1"/>
  <c r="H113" i="38"/>
  <c r="C114" i="38"/>
  <c r="D114" i="38"/>
  <c r="E114" i="38"/>
  <c r="F114" i="38"/>
  <c r="F123" i="38" s="1"/>
  <c r="G114" i="38"/>
  <c r="G123" i="38" s="1"/>
  <c r="C115" i="38"/>
  <c r="D115" i="38"/>
  <c r="D124" i="38" s="1"/>
  <c r="E115" i="38"/>
  <c r="E124" i="38" s="1"/>
  <c r="F115" i="38"/>
  <c r="F124" i="38" s="1"/>
  <c r="C116" i="38"/>
  <c r="D116" i="38"/>
  <c r="E116" i="38"/>
  <c r="B117" i="38"/>
  <c r="B116" i="38" s="1"/>
  <c r="B115" i="38" s="1"/>
  <c r="B114" i="38" s="1"/>
  <c r="B113" i="38" s="1"/>
  <c r="C117" i="38"/>
  <c r="C126" i="38" s="1"/>
  <c r="D117" i="38"/>
  <c r="D126" i="38" s="1"/>
  <c r="C118" i="38"/>
  <c r="C122" i="38"/>
  <c r="D122" i="38"/>
  <c r="H122" i="38"/>
  <c r="C123" i="38"/>
  <c r="D123" i="38"/>
  <c r="E123" i="38"/>
  <c r="C124" i="38"/>
  <c r="C125" i="38"/>
  <c r="D125" i="38"/>
  <c r="E125" i="38"/>
  <c r="B126" i="38"/>
  <c r="B125" i="38" s="1"/>
  <c r="B124" i="38" s="1"/>
  <c r="B123" i="38" s="1"/>
  <c r="B122" i="38" s="1"/>
  <c r="C127" i="38"/>
  <c r="C40" i="37"/>
  <c r="D40" i="37"/>
  <c r="C41" i="37"/>
  <c r="D41" i="37"/>
  <c r="C44" i="37"/>
  <c r="C45" i="37"/>
  <c r="C46" i="37"/>
  <c r="B48" i="37"/>
  <c r="B58" i="37" s="1"/>
  <c r="B63" i="37" s="1"/>
  <c r="B53" i="37"/>
  <c r="D48" i="36"/>
  <c r="B39" i="35"/>
  <c r="B41" i="35"/>
  <c r="B43" i="35" s="1"/>
  <c r="B45" i="35"/>
  <c r="G54" i="34"/>
  <c r="H54" i="34"/>
  <c r="L54" i="34"/>
  <c r="M54" i="34"/>
  <c r="N54" i="34" s="1"/>
  <c r="G55" i="34"/>
  <c r="H55" i="34"/>
  <c r="L55" i="34"/>
  <c r="M55" i="34"/>
  <c r="N55" i="34" s="1"/>
  <c r="G56" i="34"/>
  <c r="H56" i="34"/>
  <c r="L56" i="34"/>
  <c r="N56" i="34" s="1"/>
  <c r="M56" i="34"/>
  <c r="G57" i="34"/>
  <c r="H57" i="34"/>
  <c r="G58" i="34"/>
  <c r="H58" i="34"/>
  <c r="G59" i="34"/>
  <c r="H59" i="34"/>
  <c r="F63" i="34"/>
  <c r="F64" i="34" s="1"/>
  <c r="Q76" i="34"/>
  <c r="Q81" i="34" s="1"/>
  <c r="R76" i="34"/>
  <c r="S83" i="34" s="1"/>
  <c r="K77" i="34"/>
  <c r="L77" i="34"/>
  <c r="L84" i="34" s="1"/>
  <c r="N82" i="34" s="1"/>
  <c r="M77" i="34"/>
  <c r="Q77" i="34"/>
  <c r="R82" i="34" s="1"/>
  <c r="R77" i="34"/>
  <c r="S77" i="34"/>
  <c r="D79" i="34"/>
  <c r="E81" i="34"/>
  <c r="F81" i="34"/>
  <c r="G81" i="34"/>
  <c r="H81" i="34"/>
  <c r="E82" i="34"/>
  <c r="F82" i="34"/>
  <c r="G82" i="34"/>
  <c r="H82" i="34"/>
  <c r="L82" i="34"/>
  <c r="E83" i="34"/>
  <c r="F83" i="34"/>
  <c r="G83" i="34"/>
  <c r="H83" i="34"/>
  <c r="E84" i="34"/>
  <c r="F84" i="34"/>
  <c r="G84" i="34"/>
  <c r="H84" i="34"/>
  <c r="N84" i="34"/>
  <c r="T84" i="34"/>
  <c r="L94" i="34"/>
  <c r="D42" i="33"/>
  <c r="C47" i="33" s="1"/>
  <c r="C48" i="33" s="1"/>
  <c r="E42" i="33"/>
  <c r="F42" i="33"/>
  <c r="B21" i="32"/>
  <c r="B26" i="32"/>
  <c r="B31" i="32" s="1"/>
  <c r="D26" i="31"/>
  <c r="D36" i="31" s="1"/>
  <c r="D27" i="31"/>
  <c r="D28" i="31"/>
  <c r="E25" i="30"/>
  <c r="F25" i="30"/>
  <c r="F48" i="30" s="1"/>
  <c r="E27" i="30"/>
  <c r="F27" i="30"/>
  <c r="E28" i="30"/>
  <c r="E33" i="30" s="1"/>
  <c r="E29" i="30"/>
  <c r="F52" i="30" s="1"/>
  <c r="F29" i="30"/>
  <c r="E31" i="30"/>
  <c r="F31" i="30" s="1"/>
  <c r="F54" i="30" s="1"/>
  <c r="F50" i="30"/>
  <c r="C38" i="29"/>
  <c r="E38" i="29" s="1"/>
  <c r="E41" i="29" s="1"/>
  <c r="D38" i="29"/>
  <c r="C39" i="29"/>
  <c r="D39" i="29"/>
  <c r="E39" i="29"/>
  <c r="C40" i="29"/>
  <c r="D40" i="29"/>
  <c r="E40" i="29"/>
  <c r="C45" i="29"/>
  <c r="D45" i="29"/>
  <c r="E45" i="29" s="1"/>
  <c r="B55" i="29"/>
  <c r="D55" i="29" s="1"/>
  <c r="G55" i="29" s="1"/>
  <c r="C55" i="29"/>
  <c r="F55" i="29"/>
  <c r="B56" i="29"/>
  <c r="C56" i="29"/>
  <c r="D56" i="29"/>
  <c r="F56" i="29"/>
  <c r="H56" i="29" s="1"/>
  <c r="H61" i="29" s="1"/>
  <c r="B57" i="29"/>
  <c r="C57" i="29"/>
  <c r="D57" i="29"/>
  <c r="G57" i="29" s="1"/>
  <c r="F57" i="29"/>
  <c r="B58" i="29"/>
  <c r="C58" i="29"/>
  <c r="D58" i="29"/>
  <c r="F58" i="29"/>
  <c r="H58" i="29"/>
  <c r="B59" i="29"/>
  <c r="D59" i="29" s="1"/>
  <c r="G59" i="29" s="1"/>
  <c r="C59" i="29"/>
  <c r="F59" i="29"/>
  <c r="B60" i="29"/>
  <c r="C60" i="29"/>
  <c r="D60" i="29" s="1"/>
  <c r="H60" i="29" s="1"/>
  <c r="F60" i="29"/>
  <c r="C61" i="29"/>
  <c r="E64" i="29"/>
  <c r="E65" i="29"/>
  <c r="D66" i="29"/>
  <c r="D64" i="29" s="1"/>
  <c r="E66" i="29"/>
  <c r="F66" i="29"/>
  <c r="C88" i="29" s="1"/>
  <c r="D71" i="29"/>
  <c r="E72" i="29"/>
  <c r="E76" i="29" s="1"/>
  <c r="E80" i="29" s="1"/>
  <c r="D75" i="29"/>
  <c r="E75" i="29"/>
  <c r="D23" i="28"/>
  <c r="E23" i="28"/>
  <c r="F23" i="28"/>
  <c r="C24" i="28"/>
  <c r="D24" i="28"/>
  <c r="F24" i="28" s="1"/>
  <c r="E24" i="28"/>
  <c r="C25" i="28"/>
  <c r="C26" i="28" s="1"/>
  <c r="D26" i="28" s="1"/>
  <c r="G62" i="28"/>
  <c r="C69" i="28" s="1"/>
  <c r="G63" i="28"/>
  <c r="G64" i="28"/>
  <c r="G65" i="28"/>
  <c r="C74" i="28"/>
  <c r="D74" i="28"/>
  <c r="E74" i="28"/>
  <c r="F74" i="28"/>
  <c r="C83" i="28"/>
  <c r="D83" i="28"/>
  <c r="C41" i="27"/>
  <c r="C49" i="27" s="1"/>
  <c r="D41" i="27"/>
  <c r="D49" i="27" s="1"/>
  <c r="E41" i="27"/>
  <c r="F41" i="27"/>
  <c r="B42" i="27"/>
  <c r="C42" i="27"/>
  <c r="C50" i="27" s="1"/>
  <c r="D42" i="27"/>
  <c r="E42" i="27"/>
  <c r="F42" i="27"/>
  <c r="B43" i="27"/>
  <c r="B44" i="27" s="1"/>
  <c r="C43" i="27"/>
  <c r="C51" i="27" s="1"/>
  <c r="D43" i="27"/>
  <c r="D51" i="27" s="1"/>
  <c r="E43" i="27"/>
  <c r="E51" i="27" s="1"/>
  <c r="F43" i="27"/>
  <c r="F51" i="27" s="1"/>
  <c r="C44" i="27"/>
  <c r="C52" i="27" s="1"/>
  <c r="D44" i="27"/>
  <c r="D52" i="27" s="1"/>
  <c r="E44" i="27"/>
  <c r="E52" i="27" s="1"/>
  <c r="F61" i="27" s="1"/>
  <c r="F87" i="27" s="1"/>
  <c r="F44" i="27"/>
  <c r="E49" i="27"/>
  <c r="F49" i="27"/>
  <c r="D50" i="27"/>
  <c r="E50" i="27"/>
  <c r="F50" i="27"/>
  <c r="F52" i="27"/>
  <c r="G61" i="27" s="1"/>
  <c r="G87" i="27" s="1"/>
  <c r="D86" i="27"/>
  <c r="H86" i="27" s="1"/>
  <c r="E86" i="27"/>
  <c r="I86" i="27" s="1"/>
  <c r="F86" i="27"/>
  <c r="F88" i="27" s="1"/>
  <c r="G86" i="27"/>
  <c r="G88" i="27" s="1"/>
  <c r="E37" i="26"/>
  <c r="C33" i="26" s="1"/>
  <c r="D33" i="26" s="1"/>
  <c r="C41" i="25"/>
  <c r="D41" i="25"/>
  <c r="E41" i="25"/>
  <c r="C42" i="25"/>
  <c r="D42" i="25"/>
  <c r="E42" i="25"/>
  <c r="C43" i="25"/>
  <c r="D43" i="25"/>
  <c r="E43" i="25"/>
  <c r="B61" i="25"/>
  <c r="E63" i="25" s="1"/>
  <c r="E64" i="25" s="1"/>
  <c r="E65" i="25" s="1"/>
  <c r="C63" i="25"/>
  <c r="C64" i="25" s="1"/>
  <c r="C65" i="25" s="1"/>
  <c r="D63" i="25"/>
  <c r="D64" i="25" s="1"/>
  <c r="D65" i="25" s="1"/>
  <c r="B16" i="24"/>
  <c r="C16" i="24" s="1"/>
  <c r="D16" i="24" s="1"/>
  <c r="E16" i="24" s="1"/>
  <c r="F16" i="24" s="1"/>
  <c r="G16" i="24" s="1"/>
  <c r="B17" i="24"/>
  <c r="C17" i="24" s="1"/>
  <c r="D17" i="24" s="1"/>
  <c r="E17" i="24" s="1"/>
  <c r="F17" i="24" s="1"/>
  <c r="B18" i="24"/>
  <c r="C18" i="24"/>
  <c r="D18" i="24" s="1"/>
  <c r="E18" i="24" s="1"/>
  <c r="B19" i="24"/>
  <c r="C19" i="24"/>
  <c r="D19" i="24" s="1"/>
  <c r="B20" i="24"/>
  <c r="C20" i="24" s="1"/>
  <c r="B21" i="24"/>
  <c r="C25" i="24"/>
  <c r="D25" i="24"/>
  <c r="E25" i="24"/>
  <c r="F25" i="24"/>
  <c r="G25" i="24"/>
  <c r="C26" i="24"/>
  <c r="D26" i="24"/>
  <c r="F26" i="24"/>
  <c r="C27" i="24"/>
  <c r="D27" i="24"/>
  <c r="E27" i="24"/>
  <c r="C28" i="24"/>
  <c r="D28" i="24"/>
  <c r="C29" i="24"/>
  <c r="B57" i="24"/>
  <c r="C57" i="24"/>
  <c r="D57" i="24"/>
  <c r="E57" i="24"/>
  <c r="E58" i="24" s="1"/>
  <c r="E60" i="24" s="1"/>
  <c r="F57" i="24"/>
  <c r="F58" i="24" s="1"/>
  <c r="F60" i="24" s="1"/>
  <c r="C63" i="24"/>
  <c r="C80" i="24"/>
  <c r="D80" i="24"/>
  <c r="C81" i="24"/>
  <c r="D81" i="24"/>
  <c r="C82" i="24"/>
  <c r="D90" i="24"/>
  <c r="B22" i="23"/>
  <c r="C22" i="23"/>
  <c r="E22" i="23" s="1"/>
  <c r="F22" i="23" s="1"/>
  <c r="G22" i="23" s="1"/>
  <c r="D22" i="23"/>
  <c r="B23" i="23"/>
  <c r="D23" i="23" s="1"/>
  <c r="C23" i="23"/>
  <c r="E23" i="23" s="1"/>
  <c r="B24" i="23"/>
  <c r="C24" i="23"/>
  <c r="E24" i="23" s="1"/>
  <c r="F24" i="23" s="1"/>
  <c r="G24" i="23" s="1"/>
  <c r="D24" i="23"/>
  <c r="B25" i="23"/>
  <c r="D25" i="23" s="1"/>
  <c r="C25" i="23"/>
  <c r="E25" i="23" s="1"/>
  <c r="F25" i="23" s="1"/>
  <c r="G25" i="23" s="1"/>
  <c r="B26" i="23"/>
  <c r="C26" i="23"/>
  <c r="E26" i="23" s="1"/>
  <c r="F26" i="23" s="1"/>
  <c r="G26" i="23" s="1"/>
  <c r="D26" i="23"/>
  <c r="B27" i="23"/>
  <c r="D27" i="23" s="1"/>
  <c r="C27" i="23"/>
  <c r="E27" i="23" s="1"/>
  <c r="B28" i="23"/>
  <c r="C28" i="23"/>
  <c r="E28" i="23" s="1"/>
  <c r="F28" i="23" s="1"/>
  <c r="G28" i="23" s="1"/>
  <c r="D28" i="23"/>
  <c r="E46" i="23"/>
  <c r="E47" i="23" s="1"/>
  <c r="E48" i="23" s="1"/>
  <c r="E49" i="23" s="1"/>
  <c r="E50" i="23" s="1"/>
  <c r="J47" i="23"/>
  <c r="B36" i="22"/>
  <c r="C36" i="22"/>
  <c r="B45" i="22" s="1"/>
  <c r="B51" i="22" s="1"/>
  <c r="D36" i="22"/>
  <c r="E36" i="22"/>
  <c r="F36" i="22"/>
  <c r="G36" i="22"/>
  <c r="B37" i="22"/>
  <c r="C37" i="22"/>
  <c r="B46" i="22" s="1"/>
  <c r="D37" i="22"/>
  <c r="C46" i="22" s="1"/>
  <c r="E37" i="22"/>
  <c r="D46" i="22" s="1"/>
  <c r="F37" i="22"/>
  <c r="F55" i="22" s="1"/>
  <c r="B38" i="22"/>
  <c r="C38" i="22"/>
  <c r="B47" i="22" s="1"/>
  <c r="D38" i="22"/>
  <c r="C47" i="22" s="1"/>
  <c r="E38" i="22"/>
  <c r="B39" i="22"/>
  <c r="C39" i="22"/>
  <c r="D39" i="22"/>
  <c r="B40" i="22"/>
  <c r="C40" i="22"/>
  <c r="B41" i="22"/>
  <c r="D45" i="22"/>
  <c r="E45" i="22"/>
  <c r="F45" i="22"/>
  <c r="F51" i="22" s="1"/>
  <c r="F52" i="22" s="1"/>
  <c r="B48" i="22"/>
  <c r="C48" i="22"/>
  <c r="B49" i="22"/>
  <c r="B55" i="22"/>
  <c r="H55" i="22" s="1"/>
  <c r="C55" i="22"/>
  <c r="D55" i="22"/>
  <c r="E55" i="22"/>
  <c r="G55" i="22"/>
  <c r="G56" i="22"/>
  <c r="G57" i="22" s="1"/>
  <c r="B62" i="22"/>
  <c r="C62" i="22"/>
  <c r="D62" i="22"/>
  <c r="E62" i="22"/>
  <c r="F62" i="22"/>
  <c r="F68" i="22" s="1"/>
  <c r="F69" i="22" s="1"/>
  <c r="F71" i="22" s="1"/>
  <c r="B63" i="22"/>
  <c r="B68" i="22" s="1"/>
  <c r="C63" i="22"/>
  <c r="C68" i="22" s="1"/>
  <c r="D63" i="22"/>
  <c r="E63" i="22"/>
  <c r="B64" i="22"/>
  <c r="C64" i="22"/>
  <c r="D64" i="22"/>
  <c r="B65" i="22"/>
  <c r="C65" i="22"/>
  <c r="B66" i="22"/>
  <c r="D68" i="22"/>
  <c r="E68" i="22"/>
  <c r="E69" i="22" s="1"/>
  <c r="E71" i="22" s="1"/>
  <c r="B70" i="22"/>
  <c r="C70" i="22"/>
  <c r="D70" i="22"/>
  <c r="E70" i="22"/>
  <c r="F70" i="22"/>
  <c r="G70" i="22"/>
  <c r="G71" i="22" s="1"/>
  <c r="G74" i="22"/>
  <c r="B22" i="21"/>
  <c r="C16" i="21" s="1"/>
  <c r="C22" i="21"/>
  <c r="D15" i="21" s="1"/>
  <c r="D22" i="21"/>
  <c r="E14" i="21" s="1"/>
  <c r="E22" i="21"/>
  <c r="F13" i="21" s="1"/>
  <c r="F22" i="21"/>
  <c r="G12" i="21" s="1"/>
  <c r="G22" i="21"/>
  <c r="H11" i="21" s="1"/>
  <c r="H22" i="21"/>
  <c r="I10" i="21" s="1"/>
  <c r="I22" i="21"/>
  <c r="J9" i="21" s="1"/>
  <c r="J22" i="21"/>
  <c r="K8" i="21" s="1"/>
  <c r="I25" i="21"/>
  <c r="J25" i="21"/>
  <c r="G41" i="21"/>
  <c r="AC4" i="20"/>
  <c r="AK4" i="20"/>
  <c r="AS4" i="20"/>
  <c r="AT4" i="20"/>
  <c r="AC5" i="20"/>
  <c r="AK5" i="20"/>
  <c r="AL5" i="20"/>
  <c r="AS5" i="20"/>
  <c r="AC6" i="20"/>
  <c r="AK6" i="20"/>
  <c r="AS6" i="20"/>
  <c r="AT6" i="20"/>
  <c r="AC7" i="20"/>
  <c r="AK7" i="20"/>
  <c r="AL7" i="20"/>
  <c r="AS7" i="20"/>
  <c r="AC8" i="20"/>
  <c r="AK8" i="20"/>
  <c r="AS8" i="20"/>
  <c r="AT8" i="20"/>
  <c r="AC9" i="20"/>
  <c r="AK9" i="20"/>
  <c r="AL9" i="20"/>
  <c r="AS9" i="20"/>
  <c r="AC10" i="20"/>
  <c r="AK10" i="20"/>
  <c r="AS10" i="20"/>
  <c r="AT10" i="20"/>
  <c r="AC11" i="20"/>
  <c r="AK11" i="20"/>
  <c r="AL11" i="20"/>
  <c r="AS11" i="20"/>
  <c r="AC12" i="20"/>
  <c r="AK12" i="20"/>
  <c r="AS12" i="20"/>
  <c r="AT12" i="20"/>
  <c r="AC13" i="20"/>
  <c r="AK13" i="20"/>
  <c r="AL13" i="20"/>
  <c r="AS13" i="20"/>
  <c r="AC14" i="20"/>
  <c r="AK14" i="20"/>
  <c r="AS14" i="20"/>
  <c r="AT14" i="20"/>
  <c r="AC15" i="20"/>
  <c r="AK15" i="20"/>
  <c r="AL15" i="20"/>
  <c r="AS15" i="20"/>
  <c r="AC16" i="20"/>
  <c r="AK16" i="20"/>
  <c r="AS16" i="20"/>
  <c r="AT16" i="20"/>
  <c r="AC17" i="20"/>
  <c r="AK17" i="20"/>
  <c r="AL17" i="20"/>
  <c r="AS17" i="20"/>
  <c r="AC18" i="20"/>
  <c r="AK18" i="20"/>
  <c r="AS18" i="20"/>
  <c r="AT18" i="20"/>
  <c r="AC19" i="20"/>
  <c r="AK19" i="20"/>
  <c r="AL19" i="20"/>
  <c r="AS19" i="20"/>
  <c r="AC20" i="20"/>
  <c r="AK20" i="20"/>
  <c r="AS20" i="20"/>
  <c r="AT20" i="20"/>
  <c r="AC21" i="20"/>
  <c r="AK21" i="20"/>
  <c r="AL21" i="20"/>
  <c r="AS21" i="20"/>
  <c r="AC22" i="20"/>
  <c r="AK22" i="20"/>
  <c r="AS22" i="20"/>
  <c r="AT22" i="20"/>
  <c r="AC23" i="20"/>
  <c r="AK23" i="20"/>
  <c r="AL23" i="20"/>
  <c r="AS23" i="20"/>
  <c r="AC24" i="20"/>
  <c r="AK24" i="20"/>
  <c r="AS24" i="20"/>
  <c r="AT24" i="20"/>
  <c r="AC25" i="20"/>
  <c r="AK25" i="20"/>
  <c r="AL25" i="20"/>
  <c r="AS25" i="20"/>
  <c r="AC26" i="20"/>
  <c r="AK26" i="20"/>
  <c r="AS26" i="20"/>
  <c r="AT26" i="20"/>
  <c r="AC27" i="20"/>
  <c r="AK27" i="20"/>
  <c r="AL27" i="20"/>
  <c r="AS27" i="20"/>
  <c r="AC28" i="20"/>
  <c r="AK28" i="20"/>
  <c r="AS28" i="20"/>
  <c r="AT28" i="20"/>
  <c r="AC29" i="20"/>
  <c r="AK29" i="20"/>
  <c r="AL29" i="20"/>
  <c r="AS29" i="20"/>
  <c r="C30" i="20"/>
  <c r="AC30" i="20"/>
  <c r="AK30" i="20"/>
  <c r="AL30" i="20"/>
  <c r="AS30" i="20"/>
  <c r="C31" i="20"/>
  <c r="AC31" i="20"/>
  <c r="AD31" i="20"/>
  <c r="AK31" i="20"/>
  <c r="AS31" i="20"/>
  <c r="C32" i="20"/>
  <c r="AC32" i="20"/>
  <c r="AK32" i="20"/>
  <c r="AS32" i="20"/>
  <c r="AT32" i="20"/>
  <c r="AC33" i="20"/>
  <c r="AK33" i="20"/>
  <c r="AS33" i="20"/>
  <c r="AC34" i="20"/>
  <c r="AK34" i="20"/>
  <c r="AS34" i="20"/>
  <c r="AT34" i="20"/>
  <c r="AC35" i="20"/>
  <c r="AK35" i="20"/>
  <c r="AS35" i="20"/>
  <c r="AC36" i="20"/>
  <c r="AK36" i="20"/>
  <c r="AS36" i="20"/>
  <c r="AT36" i="20"/>
  <c r="AC37" i="20"/>
  <c r="AK37" i="20"/>
  <c r="AS37" i="20"/>
  <c r="AC38" i="20"/>
  <c r="AK38" i="20"/>
  <c r="AS38" i="20"/>
  <c r="AT38" i="20"/>
  <c r="AC39" i="20"/>
  <c r="AK39" i="20"/>
  <c r="AS39" i="20"/>
  <c r="B42" i="20"/>
  <c r="AB42" i="20"/>
  <c r="AD33" i="20" s="1"/>
  <c r="AJ42" i="20"/>
  <c r="AL31" i="20" s="1"/>
  <c r="AR42" i="20"/>
  <c r="AT5" i="20" s="1"/>
  <c r="B54" i="20"/>
  <c r="B66" i="20"/>
  <c r="D22" i="19"/>
  <c r="E22" i="19"/>
  <c r="F22" i="19"/>
  <c r="G22" i="19"/>
  <c r="H22" i="19"/>
  <c r="I22" i="19"/>
  <c r="J22" i="19"/>
  <c r="K22" i="19"/>
  <c r="L22" i="19"/>
  <c r="D23" i="19"/>
  <c r="D28" i="19" s="1"/>
  <c r="B66" i="19" s="1"/>
  <c r="E23" i="19"/>
  <c r="E30" i="19" s="1"/>
  <c r="J68" i="19" s="1"/>
  <c r="F23" i="19"/>
  <c r="F30" i="19" s="1"/>
  <c r="S68" i="19" s="1"/>
  <c r="G23" i="19"/>
  <c r="G28" i="19" s="1"/>
  <c r="H23" i="19"/>
  <c r="H29" i="19" s="1"/>
  <c r="I23" i="19"/>
  <c r="I31" i="19" s="1"/>
  <c r="J23" i="19"/>
  <c r="J29" i="19" s="1"/>
  <c r="K23" i="19"/>
  <c r="K29" i="19" s="1"/>
  <c r="L23" i="19"/>
  <c r="L28" i="19" s="1"/>
  <c r="D27" i="19"/>
  <c r="E27" i="19"/>
  <c r="F27" i="19"/>
  <c r="G27" i="19"/>
  <c r="H27" i="19"/>
  <c r="I27" i="19"/>
  <c r="J27" i="19"/>
  <c r="K27" i="19"/>
  <c r="L27" i="19"/>
  <c r="B28" i="19"/>
  <c r="K28" i="19"/>
  <c r="B29" i="19"/>
  <c r="L29" i="19"/>
  <c r="B30" i="19"/>
  <c r="K30" i="19"/>
  <c r="L30" i="19"/>
  <c r="B31" i="19"/>
  <c r="J31" i="19"/>
  <c r="K31" i="19"/>
  <c r="L31" i="19"/>
  <c r="B32" i="19"/>
  <c r="I32" i="19"/>
  <c r="J32" i="19"/>
  <c r="K32" i="19"/>
  <c r="L32" i="19"/>
  <c r="B33" i="19"/>
  <c r="H33" i="19"/>
  <c r="I33" i="19"/>
  <c r="J33" i="19"/>
  <c r="K33" i="19"/>
  <c r="L33" i="19"/>
  <c r="B34" i="19"/>
  <c r="G34" i="19"/>
  <c r="H34" i="19"/>
  <c r="I34" i="19"/>
  <c r="J34" i="19"/>
  <c r="K34" i="19"/>
  <c r="L34" i="19"/>
  <c r="B35" i="19"/>
  <c r="F35" i="19"/>
  <c r="G35" i="19"/>
  <c r="H35" i="19"/>
  <c r="I35" i="19"/>
  <c r="J35" i="19"/>
  <c r="K35" i="19"/>
  <c r="L35" i="19"/>
  <c r="B36" i="19"/>
  <c r="E36" i="19"/>
  <c r="F36" i="19"/>
  <c r="G36" i="19"/>
  <c r="H36" i="19"/>
  <c r="I36" i="19"/>
  <c r="J36" i="19"/>
  <c r="K36" i="19"/>
  <c r="L36" i="19"/>
  <c r="A47" i="19"/>
  <c r="B47" i="19"/>
  <c r="I47" i="19"/>
  <c r="J47" i="19"/>
  <c r="R47" i="19"/>
  <c r="S47" i="19"/>
  <c r="A48" i="19"/>
  <c r="B48" i="19"/>
  <c r="I48" i="19"/>
  <c r="J48" i="19"/>
  <c r="R48" i="19"/>
  <c r="S48" i="19"/>
  <c r="A49" i="19"/>
  <c r="B49" i="19"/>
  <c r="I49" i="19"/>
  <c r="J49" i="19"/>
  <c r="R49" i="19"/>
  <c r="S49" i="19"/>
  <c r="A50" i="19"/>
  <c r="B50" i="19"/>
  <c r="I50" i="19"/>
  <c r="J50" i="19"/>
  <c r="R50" i="19"/>
  <c r="S50" i="19"/>
  <c r="A51" i="19"/>
  <c r="B51" i="19"/>
  <c r="I51" i="19"/>
  <c r="J51" i="19"/>
  <c r="R51" i="19"/>
  <c r="S51" i="19"/>
  <c r="A52" i="19"/>
  <c r="B52" i="19"/>
  <c r="I52" i="19"/>
  <c r="J52" i="19"/>
  <c r="R52" i="19"/>
  <c r="S52" i="19"/>
  <c r="A53" i="19"/>
  <c r="B53" i="19"/>
  <c r="I53" i="19"/>
  <c r="J53" i="19"/>
  <c r="R53" i="19"/>
  <c r="S53" i="19"/>
  <c r="A54" i="19"/>
  <c r="B54" i="19"/>
  <c r="I54" i="19"/>
  <c r="J54" i="19"/>
  <c r="A55" i="19"/>
  <c r="B55" i="19"/>
  <c r="B56" i="19"/>
  <c r="A66" i="19"/>
  <c r="I66" i="19"/>
  <c r="R66" i="19"/>
  <c r="A67" i="19"/>
  <c r="I67" i="19"/>
  <c r="R67" i="19"/>
  <c r="A68" i="19"/>
  <c r="I68" i="19"/>
  <c r="R68" i="19"/>
  <c r="A69" i="19"/>
  <c r="I69" i="19"/>
  <c r="R69" i="19"/>
  <c r="A70" i="19"/>
  <c r="I70" i="19"/>
  <c r="R70" i="19"/>
  <c r="A71" i="19"/>
  <c r="I71" i="19"/>
  <c r="R71" i="19"/>
  <c r="A72" i="19"/>
  <c r="I72" i="19"/>
  <c r="R72" i="19"/>
  <c r="A73" i="19"/>
  <c r="I73" i="19"/>
  <c r="A74" i="19"/>
  <c r="A100" i="19"/>
  <c r="B100" i="19"/>
  <c r="H100" i="19"/>
  <c r="I100" i="19"/>
  <c r="O100" i="19"/>
  <c r="P100" i="19"/>
  <c r="A101" i="19"/>
  <c r="B101" i="19"/>
  <c r="H101" i="19"/>
  <c r="I101" i="19"/>
  <c r="O101" i="19"/>
  <c r="P101" i="19"/>
  <c r="A102" i="19"/>
  <c r="B102" i="19"/>
  <c r="H102" i="19"/>
  <c r="I102" i="19"/>
  <c r="O102" i="19"/>
  <c r="P102" i="19"/>
  <c r="A103" i="19"/>
  <c r="B103" i="19"/>
  <c r="H103" i="19"/>
  <c r="I103" i="19"/>
  <c r="O103" i="19"/>
  <c r="P103" i="19"/>
  <c r="A104" i="19"/>
  <c r="B104" i="19"/>
  <c r="H104" i="19"/>
  <c r="I104" i="19"/>
  <c r="O104" i="19"/>
  <c r="R99" i="19" s="1" a="1"/>
  <c r="P104" i="19"/>
  <c r="A105" i="19"/>
  <c r="B105" i="19"/>
  <c r="H105" i="19"/>
  <c r="I105" i="19"/>
  <c r="O105" i="19"/>
  <c r="P105" i="19"/>
  <c r="A106" i="19"/>
  <c r="B106" i="19"/>
  <c r="H106" i="19"/>
  <c r="I106" i="19"/>
  <c r="O106" i="19"/>
  <c r="P106" i="19"/>
  <c r="A107" i="19"/>
  <c r="B107" i="19"/>
  <c r="H107" i="19"/>
  <c r="I107" i="19"/>
  <c r="A108" i="19"/>
  <c r="B108" i="19"/>
  <c r="A33" i="18"/>
  <c r="A48" i="18" s="1"/>
  <c r="B33" i="18"/>
  <c r="C33" i="18"/>
  <c r="C48" i="18" s="1"/>
  <c r="D33" i="18"/>
  <c r="E33" i="18"/>
  <c r="F48" i="18" s="1"/>
  <c r="G48" i="18" s="1"/>
  <c r="I33" i="18"/>
  <c r="C66" i="18" s="1"/>
  <c r="A34" i="18"/>
  <c r="A49" i="18" s="1"/>
  <c r="B34" i="18"/>
  <c r="B49" i="18" s="1"/>
  <c r="E49" i="18" s="1"/>
  <c r="C34" i="18"/>
  <c r="E34" i="18" s="1"/>
  <c r="F49" i="18" s="1"/>
  <c r="D34" i="18"/>
  <c r="A35" i="18"/>
  <c r="A50" i="18" s="1"/>
  <c r="G50" i="18" s="1"/>
  <c r="H50" i="18" s="1"/>
  <c r="B35" i="18"/>
  <c r="B50" i="18" s="1"/>
  <c r="E50" i="18" s="1"/>
  <c r="C35" i="18"/>
  <c r="D35" i="18"/>
  <c r="E35" i="18"/>
  <c r="F50" i="18" s="1"/>
  <c r="A36" i="18"/>
  <c r="B36" i="18"/>
  <c r="C36" i="18"/>
  <c r="E36" i="18" s="1"/>
  <c r="F51" i="18" s="1"/>
  <c r="D36" i="18"/>
  <c r="A37" i="18"/>
  <c r="D66" i="18" s="1"/>
  <c r="B37" i="18"/>
  <c r="C37" i="18"/>
  <c r="D37" i="18"/>
  <c r="E37" i="18"/>
  <c r="F52" i="18" s="1"/>
  <c r="A38" i="18"/>
  <c r="A53" i="18" s="1"/>
  <c r="B38" i="18"/>
  <c r="B53" i="18" s="1"/>
  <c r="E53" i="18" s="1"/>
  <c r="C38" i="18"/>
  <c r="E38" i="18" s="1"/>
  <c r="F53" i="18" s="1"/>
  <c r="D38" i="18"/>
  <c r="A39" i="18"/>
  <c r="B39" i="18"/>
  <c r="C39" i="18"/>
  <c r="D39" i="18"/>
  <c r="A40" i="18"/>
  <c r="A55" i="18" s="1"/>
  <c r="B40" i="18"/>
  <c r="B55" i="18" s="1"/>
  <c r="E55" i="18" s="1"/>
  <c r="C40" i="18"/>
  <c r="E40" i="18" s="1"/>
  <c r="F55" i="18" s="1"/>
  <c r="D40" i="18"/>
  <c r="A41" i="18"/>
  <c r="A56" i="18" s="1"/>
  <c r="B41" i="18"/>
  <c r="B56" i="18" s="1"/>
  <c r="E56" i="18" s="1"/>
  <c r="C41" i="18"/>
  <c r="D41" i="18"/>
  <c r="E41" i="18"/>
  <c r="F56" i="18" s="1"/>
  <c r="A42" i="18"/>
  <c r="B42" i="18"/>
  <c r="C42" i="18"/>
  <c r="C57" i="18" s="1"/>
  <c r="D42" i="18"/>
  <c r="E42" i="18"/>
  <c r="F57" i="18" s="1"/>
  <c r="B48" i="18"/>
  <c r="E48" i="18" s="1"/>
  <c r="D48" i="18"/>
  <c r="C49" i="18"/>
  <c r="D49" i="18"/>
  <c r="C50" i="18"/>
  <c r="D50" i="18"/>
  <c r="A51" i="18"/>
  <c r="B51" i="18"/>
  <c r="E51" i="18" s="1"/>
  <c r="C51" i="18"/>
  <c r="D51" i="18"/>
  <c r="B52" i="18"/>
  <c r="C52" i="18"/>
  <c r="D52" i="18"/>
  <c r="E52" i="18"/>
  <c r="C53" i="18"/>
  <c r="D53" i="18"/>
  <c r="A54" i="18"/>
  <c r="B54" i="18"/>
  <c r="E54" i="18" s="1"/>
  <c r="D54" i="18"/>
  <c r="C55" i="18"/>
  <c r="D55" i="18"/>
  <c r="C56" i="18"/>
  <c r="D56" i="18"/>
  <c r="A57" i="18"/>
  <c r="B57" i="18"/>
  <c r="E57" i="18" s="1"/>
  <c r="D57" i="18"/>
  <c r="N47" i="17"/>
  <c r="O47" i="17"/>
  <c r="T47" i="17" s="1"/>
  <c r="W47" i="17" s="1"/>
  <c r="P47" i="17"/>
  <c r="Q47" i="17"/>
  <c r="R47" i="17"/>
  <c r="S47" i="17"/>
  <c r="U47" i="17"/>
  <c r="V47" i="17"/>
  <c r="N48" i="17"/>
  <c r="O48" i="17"/>
  <c r="T48" i="17" s="1"/>
  <c r="P48" i="17"/>
  <c r="Q48" i="17"/>
  <c r="R48" i="17"/>
  <c r="S48" i="17"/>
  <c r="U48" i="17"/>
  <c r="V48" i="17"/>
  <c r="W48" i="17" s="1"/>
  <c r="N49" i="17"/>
  <c r="O49" i="17"/>
  <c r="T49" i="17" s="1"/>
  <c r="P49" i="17"/>
  <c r="Q49" i="17"/>
  <c r="R49" i="17"/>
  <c r="S49" i="17"/>
  <c r="U49" i="17"/>
  <c r="V49" i="17"/>
  <c r="N50" i="17"/>
  <c r="O50" i="17"/>
  <c r="T50" i="17" s="1"/>
  <c r="P50" i="17"/>
  <c r="Q50" i="17"/>
  <c r="R50" i="17"/>
  <c r="S50" i="17"/>
  <c r="U50" i="17"/>
  <c r="V50" i="17"/>
  <c r="W50" i="17"/>
  <c r="N51" i="17"/>
  <c r="O51" i="17"/>
  <c r="T51" i="17" s="1"/>
  <c r="W51" i="17" s="1"/>
  <c r="P51" i="17"/>
  <c r="Q51" i="17"/>
  <c r="R51" i="17"/>
  <c r="S51" i="17"/>
  <c r="U51" i="17"/>
  <c r="V51" i="17"/>
  <c r="N52" i="17"/>
  <c r="O52" i="17"/>
  <c r="P52" i="17"/>
  <c r="Q52" i="17"/>
  <c r="R52" i="17"/>
  <c r="S52" i="17"/>
  <c r="T52" i="17"/>
  <c r="U52" i="17"/>
  <c r="V52" i="17"/>
  <c r="N53" i="17"/>
  <c r="O53" i="17"/>
  <c r="P53" i="17"/>
  <c r="Q53" i="17"/>
  <c r="R53" i="17"/>
  <c r="S53" i="17"/>
  <c r="T53" i="17"/>
  <c r="U53" i="17"/>
  <c r="V53" i="17"/>
  <c r="N54" i="17"/>
  <c r="O54" i="17"/>
  <c r="P54" i="17"/>
  <c r="Q54" i="17"/>
  <c r="R54" i="17"/>
  <c r="S54" i="17"/>
  <c r="T54" i="17"/>
  <c r="U54" i="17"/>
  <c r="V54" i="17"/>
  <c r="N55" i="17"/>
  <c r="O55" i="17"/>
  <c r="P55" i="17"/>
  <c r="Q55" i="17"/>
  <c r="R55" i="17"/>
  <c r="S55" i="17"/>
  <c r="T55" i="17"/>
  <c r="U55" i="17"/>
  <c r="V55" i="17"/>
  <c r="N56" i="17"/>
  <c r="O56" i="17"/>
  <c r="P56" i="17"/>
  <c r="Q56" i="17"/>
  <c r="R56" i="17"/>
  <c r="S56" i="17"/>
  <c r="T56" i="17"/>
  <c r="U56" i="17"/>
  <c r="V56" i="17"/>
  <c r="F13" i="16"/>
  <c r="G13" i="16" s="1"/>
  <c r="H13" i="16" s="1"/>
  <c r="I13" i="16" s="1"/>
  <c r="D26" i="16" s="1"/>
  <c r="C25" i="16"/>
  <c r="D25" i="16"/>
  <c r="C26" i="16"/>
  <c r="E26" i="16" s="1"/>
  <c r="C33" i="16"/>
  <c r="E53" i="16" s="1"/>
  <c r="C34" i="16"/>
  <c r="C35" i="16"/>
  <c r="E55" i="16" s="1"/>
  <c r="C55" i="16" s="1"/>
  <c r="C36" i="16"/>
  <c r="C37" i="16"/>
  <c r="C38" i="16"/>
  <c r="C39" i="16"/>
  <c r="C45" i="16" s="1"/>
  <c r="C46" i="16" s="1"/>
  <c r="E54" i="16"/>
  <c r="C56" i="16"/>
  <c r="E56" i="16"/>
  <c r="F56" i="16"/>
  <c r="E57" i="16"/>
  <c r="C57" i="16" s="1"/>
  <c r="E58" i="16"/>
  <c r="A77" i="16"/>
  <c r="B77" i="16"/>
  <c r="A78" i="16"/>
  <c r="B78" i="16"/>
  <c r="A79" i="16"/>
  <c r="B79" i="16"/>
  <c r="A80" i="16"/>
  <c r="B80" i="16"/>
  <c r="A81" i="16"/>
  <c r="B81" i="16"/>
  <c r="A82" i="16"/>
  <c r="B82" i="16"/>
  <c r="G6" i="15"/>
  <c r="H6" i="15"/>
  <c r="G7" i="15"/>
  <c r="H7" i="15"/>
  <c r="G8" i="15"/>
  <c r="H8" i="15"/>
  <c r="G9" i="15"/>
  <c r="H9" i="15"/>
  <c r="B26" i="15" s="1"/>
  <c r="I8" i="15" s="1"/>
  <c r="J8" i="15" s="1"/>
  <c r="G10" i="15"/>
  <c r="H10" i="15"/>
  <c r="I10" i="15" s="1"/>
  <c r="G11" i="15"/>
  <c r="H11" i="15"/>
  <c r="I11" i="15" s="1"/>
  <c r="G12" i="15"/>
  <c r="I12" i="15" s="1"/>
  <c r="K12" i="15" s="1"/>
  <c r="H12" i="15"/>
  <c r="J12" i="15"/>
  <c r="G13" i="15"/>
  <c r="H13" i="15"/>
  <c r="I13" i="15"/>
  <c r="K13" i="15" s="1"/>
  <c r="J13" i="15"/>
  <c r="G14" i="15"/>
  <c r="I14" i="15" s="1"/>
  <c r="H14" i="15"/>
  <c r="L14" i="15"/>
  <c r="G15" i="15"/>
  <c r="H15" i="15"/>
  <c r="I15" i="15"/>
  <c r="J15" i="15"/>
  <c r="K15" i="15"/>
  <c r="B27" i="15"/>
  <c r="B28" i="15"/>
  <c r="E59" i="15" s="1"/>
  <c r="B63" i="15" s="1"/>
  <c r="B29" i="15"/>
  <c r="E58" i="15"/>
  <c r="B62" i="15"/>
  <c r="A46" i="14"/>
  <c r="B46" i="14"/>
  <c r="C46" i="14"/>
  <c r="D46" i="14"/>
  <c r="E46" i="14"/>
  <c r="F46" i="14"/>
  <c r="G46" i="14"/>
  <c r="J46" i="14"/>
  <c r="K46" i="14"/>
  <c r="L46" i="14"/>
  <c r="A47" i="14"/>
  <c r="B47" i="14"/>
  <c r="C47" i="14"/>
  <c r="D47" i="14"/>
  <c r="E47" i="14"/>
  <c r="F47" i="14"/>
  <c r="G47" i="14"/>
  <c r="J47" i="14"/>
  <c r="K47" i="14"/>
  <c r="L47" i="14"/>
  <c r="A48" i="14"/>
  <c r="B48" i="14"/>
  <c r="C48" i="14"/>
  <c r="D48" i="14"/>
  <c r="E48" i="14"/>
  <c r="F48" i="14"/>
  <c r="G48" i="14"/>
  <c r="J48" i="14"/>
  <c r="K48" i="14"/>
  <c r="L48" i="14"/>
  <c r="A49" i="14"/>
  <c r="B49" i="14"/>
  <c r="C49" i="14"/>
  <c r="D49" i="14"/>
  <c r="E49" i="14"/>
  <c r="F49" i="14"/>
  <c r="G49" i="14"/>
  <c r="J49" i="14"/>
  <c r="K49" i="14"/>
  <c r="L49" i="14" s="1"/>
  <c r="A50" i="14"/>
  <c r="B50" i="14"/>
  <c r="C50" i="14"/>
  <c r="D50" i="14"/>
  <c r="E50" i="14"/>
  <c r="F50" i="14"/>
  <c r="G50" i="14"/>
  <c r="J50" i="14"/>
  <c r="K50" i="14"/>
  <c r="L50" i="14" s="1"/>
  <c r="A51" i="14"/>
  <c r="B51" i="14"/>
  <c r="C51" i="14"/>
  <c r="D51" i="14"/>
  <c r="E51" i="14"/>
  <c r="F51" i="14"/>
  <c r="G51" i="14"/>
  <c r="J51" i="14"/>
  <c r="L51" i="14" s="1"/>
  <c r="K51" i="14"/>
  <c r="A52" i="14"/>
  <c r="B52" i="14"/>
  <c r="C52" i="14"/>
  <c r="D52" i="14"/>
  <c r="E52" i="14"/>
  <c r="F52" i="14"/>
  <c r="G52" i="14"/>
  <c r="J52" i="14"/>
  <c r="K52" i="14"/>
  <c r="L52" i="14"/>
  <c r="A53" i="14"/>
  <c r="B53" i="14"/>
  <c r="C53" i="14"/>
  <c r="D53" i="14"/>
  <c r="E53" i="14"/>
  <c r="F53" i="14"/>
  <c r="G53" i="14"/>
  <c r="J53" i="14"/>
  <c r="L53" i="14" s="1"/>
  <c r="K53" i="14"/>
  <c r="A54" i="14"/>
  <c r="B54" i="14"/>
  <c r="C54" i="14"/>
  <c r="D54" i="14"/>
  <c r="E54" i="14"/>
  <c r="F54" i="14"/>
  <c r="G54" i="14"/>
  <c r="J54" i="14"/>
  <c r="K54" i="14"/>
  <c r="L54" i="14"/>
  <c r="A55" i="14"/>
  <c r="B55" i="14"/>
  <c r="C55" i="14"/>
  <c r="D55" i="14"/>
  <c r="E55" i="14"/>
  <c r="F55" i="14"/>
  <c r="G55" i="14"/>
  <c r="J55" i="14"/>
  <c r="K55" i="14"/>
  <c r="L55" i="14" s="1"/>
  <c r="B67" i="14"/>
  <c r="B68" i="14"/>
  <c r="B69" i="14"/>
  <c r="B70" i="14"/>
  <c r="C31" i="13"/>
  <c r="D31" i="13"/>
  <c r="E31" i="13"/>
  <c r="F31" i="13"/>
  <c r="G31" i="13"/>
  <c r="H31" i="13"/>
  <c r="B32" i="13"/>
  <c r="C32" i="13"/>
  <c r="D32" i="13"/>
  <c r="E32" i="13"/>
  <c r="E40" i="13" s="1"/>
  <c r="F32" i="13"/>
  <c r="G32" i="13"/>
  <c r="H32" i="13"/>
  <c r="B33" i="13"/>
  <c r="C33" i="13"/>
  <c r="D33" i="13"/>
  <c r="E33" i="13"/>
  <c r="F33" i="13"/>
  <c r="G33" i="13"/>
  <c r="B34" i="13"/>
  <c r="C34" i="13"/>
  <c r="D34" i="13"/>
  <c r="E34" i="13"/>
  <c r="F34" i="13"/>
  <c r="B35" i="13"/>
  <c r="C35" i="13"/>
  <c r="D35" i="13"/>
  <c r="E35" i="13"/>
  <c r="B36" i="13"/>
  <c r="C36" i="13"/>
  <c r="D36" i="13"/>
  <c r="B37" i="13"/>
  <c r="C37" i="13"/>
  <c r="C40" i="13"/>
  <c r="F40" i="13"/>
  <c r="G40" i="13"/>
  <c r="H40" i="13"/>
  <c r="E52" i="13"/>
  <c r="E53" i="13"/>
  <c r="E54" i="13"/>
  <c r="E55" i="13"/>
  <c r="E56" i="13"/>
  <c r="E57" i="13"/>
  <c r="C75" i="13"/>
  <c r="D75" i="13"/>
  <c r="E75" i="13"/>
  <c r="F75" i="13"/>
  <c r="F84" i="13" s="1"/>
  <c r="F101" i="13" s="1"/>
  <c r="G75" i="13"/>
  <c r="H75" i="13"/>
  <c r="H84" i="13" s="1"/>
  <c r="H101" i="13" s="1"/>
  <c r="I75" i="13"/>
  <c r="C76" i="13"/>
  <c r="D76" i="13"/>
  <c r="E76" i="13"/>
  <c r="F76" i="13"/>
  <c r="G76" i="13"/>
  <c r="H76" i="13"/>
  <c r="C77" i="13"/>
  <c r="D77" i="13"/>
  <c r="E77" i="13"/>
  <c r="F77" i="13"/>
  <c r="G77" i="13"/>
  <c r="C78" i="13"/>
  <c r="D78" i="13"/>
  <c r="E78" i="13"/>
  <c r="F78" i="13"/>
  <c r="C79" i="13"/>
  <c r="C84" i="13" s="1"/>
  <c r="C101" i="13" s="1"/>
  <c r="D79" i="13"/>
  <c r="E79" i="13"/>
  <c r="C80" i="13"/>
  <c r="D80" i="13"/>
  <c r="C81" i="13"/>
  <c r="I84" i="13"/>
  <c r="I101" i="13" s="1"/>
  <c r="A103" i="13"/>
  <c r="I103" i="13"/>
  <c r="A104" i="13"/>
  <c r="A105" i="13"/>
  <c r="A107" i="13" s="1"/>
  <c r="A109" i="13" s="1"/>
  <c r="A111" i="13" s="1"/>
  <c r="A113" i="13" s="1"/>
  <c r="A115" i="13" s="1"/>
  <c r="A117" i="13" s="1"/>
  <c r="A119" i="13" s="1"/>
  <c r="A121" i="13" s="1"/>
  <c r="A123" i="13" s="1"/>
  <c r="A125" i="13" s="1"/>
  <c r="A127" i="13" s="1"/>
  <c r="I105" i="13"/>
  <c r="A106" i="13"/>
  <c r="I107" i="13"/>
  <c r="A108" i="13"/>
  <c r="A110" i="13" s="1"/>
  <c r="A112" i="13" s="1"/>
  <c r="A114" i="13" s="1"/>
  <c r="A116" i="13" s="1"/>
  <c r="A118" i="13" s="1"/>
  <c r="A120" i="13" s="1"/>
  <c r="A122" i="13" s="1"/>
  <c r="A124" i="13" s="1"/>
  <c r="A126" i="13" s="1"/>
  <c r="A128" i="13" s="1"/>
  <c r="I109" i="13"/>
  <c r="I111" i="13"/>
  <c r="I113" i="13"/>
  <c r="I115" i="13"/>
  <c r="I117" i="13"/>
  <c r="I119" i="13"/>
  <c r="I121" i="13"/>
  <c r="I123" i="13"/>
  <c r="I125" i="13"/>
  <c r="I127" i="13"/>
  <c r="J8" i="12"/>
  <c r="I9" i="12"/>
  <c r="J9" i="12"/>
  <c r="I10" i="12"/>
  <c r="J10" i="12"/>
  <c r="K10" i="12"/>
  <c r="H10" i="12" s="1"/>
  <c r="I11" i="12"/>
  <c r="J11" i="12"/>
  <c r="C28" i="12" s="1"/>
  <c r="J12" i="12"/>
  <c r="I13" i="12"/>
  <c r="J13" i="12"/>
  <c r="K13" i="12"/>
  <c r="I14" i="12"/>
  <c r="J14" i="12"/>
  <c r="J15" i="12"/>
  <c r="K15" i="12"/>
  <c r="H15" i="12" s="1"/>
  <c r="G15" i="12" s="1"/>
  <c r="I16" i="12"/>
  <c r="H16" i="12" s="1"/>
  <c r="J16" i="12"/>
  <c r="J17" i="12"/>
  <c r="K17" i="12"/>
  <c r="H17" i="12" s="1"/>
  <c r="C29" i="12"/>
  <c r="C30" i="12"/>
  <c r="K16" i="12" s="1"/>
  <c r="C31" i="12"/>
  <c r="C39" i="12"/>
  <c r="C40" i="12"/>
  <c r="B41" i="12"/>
  <c r="C41" i="12"/>
  <c r="B42" i="12"/>
  <c r="D42" i="12" s="1"/>
  <c r="C42" i="12"/>
  <c r="H8" i="11"/>
  <c r="H18" i="11" s="1"/>
  <c r="D51" i="11" s="1"/>
  <c r="D52" i="11" s="1"/>
  <c r="I8" i="11"/>
  <c r="K8" i="11"/>
  <c r="J9" i="11"/>
  <c r="I9" i="11" s="1"/>
  <c r="H9" i="11" s="1"/>
  <c r="K9" i="11"/>
  <c r="J10" i="11"/>
  <c r="I10" i="11" s="1"/>
  <c r="H10" i="11" s="1"/>
  <c r="K10" i="11"/>
  <c r="I11" i="11"/>
  <c r="H11" i="11" s="1"/>
  <c r="J11" i="11"/>
  <c r="K11" i="11"/>
  <c r="K12" i="11"/>
  <c r="I12" i="11" s="1"/>
  <c r="H12" i="11" s="1"/>
  <c r="I13" i="11"/>
  <c r="H13" i="11" s="1"/>
  <c r="J13" i="11"/>
  <c r="K13" i="11"/>
  <c r="J14" i="11"/>
  <c r="K14" i="11"/>
  <c r="I14" i="11" s="1"/>
  <c r="H14" i="11" s="1"/>
  <c r="K15" i="11"/>
  <c r="I15" i="11" s="1"/>
  <c r="H15" i="11" s="1"/>
  <c r="H16" i="11"/>
  <c r="J16" i="11"/>
  <c r="K16" i="11"/>
  <c r="I16" i="11" s="1"/>
  <c r="H17" i="11"/>
  <c r="I17" i="11"/>
  <c r="K17" i="11"/>
  <c r="B33" i="11"/>
  <c r="C33" i="11"/>
  <c r="D33" i="11"/>
  <c r="B34" i="11"/>
  <c r="C34" i="11"/>
  <c r="B35" i="11"/>
  <c r="B36" i="11"/>
  <c r="C36" i="11"/>
  <c r="D36" i="11"/>
  <c r="D46" i="11"/>
  <c r="D62" i="11"/>
  <c r="D63" i="11"/>
  <c r="I25" i="10"/>
  <c r="H26" i="10"/>
  <c r="I26" i="10" s="1"/>
  <c r="G27" i="10"/>
  <c r="F28" i="10"/>
  <c r="G28" i="10"/>
  <c r="H28" i="10" s="1"/>
  <c r="I28" i="10" s="1"/>
  <c r="G30" i="10"/>
  <c r="H30" i="10" s="1"/>
  <c r="I30" i="10" s="1"/>
  <c r="D32" i="10"/>
  <c r="E32" i="10"/>
  <c r="F32" i="10"/>
  <c r="G32" i="10"/>
  <c r="H32" i="10"/>
  <c r="D33" i="10"/>
  <c r="E33" i="10"/>
  <c r="F33" i="10"/>
  <c r="G33" i="10"/>
  <c r="D34" i="10"/>
  <c r="E34" i="10"/>
  <c r="F34" i="10"/>
  <c r="D35" i="10"/>
  <c r="E35" i="10"/>
  <c r="D36" i="10"/>
  <c r="D39" i="10"/>
  <c r="E30" i="10" s="1"/>
  <c r="F30" i="10" s="1"/>
  <c r="E39" i="10"/>
  <c r="F39" i="10"/>
  <c r="G39" i="10"/>
  <c r="H39" i="10"/>
  <c r="E40" i="10"/>
  <c r="F40" i="10"/>
  <c r="G40" i="10"/>
  <c r="H9" i="9"/>
  <c r="J9" i="9" s="1"/>
  <c r="I9" i="9"/>
  <c r="M9" i="9"/>
  <c r="L10" i="9"/>
  <c r="H10" i="9" s="1"/>
  <c r="M10" i="9"/>
  <c r="H11" i="9"/>
  <c r="I11" i="9"/>
  <c r="J11" i="9"/>
  <c r="L11" i="9"/>
  <c r="M11" i="9"/>
  <c r="L12" i="9"/>
  <c r="M12" i="9"/>
  <c r="H12" i="9" s="1"/>
  <c r="H13" i="9"/>
  <c r="I13" i="9"/>
  <c r="J13" i="9"/>
  <c r="M13" i="9"/>
  <c r="L14" i="9"/>
  <c r="M14" i="9"/>
  <c r="H14" i="9" s="1"/>
  <c r="L15" i="9"/>
  <c r="H15" i="9" s="1"/>
  <c r="M15" i="9"/>
  <c r="M16" i="9"/>
  <c r="H16" i="9" s="1"/>
  <c r="H17" i="9"/>
  <c r="J17" i="9" s="1"/>
  <c r="I17" i="9"/>
  <c r="L17" i="9"/>
  <c r="M17" i="9"/>
  <c r="H18" i="9"/>
  <c r="I18" i="9" s="1"/>
  <c r="J18" i="9"/>
  <c r="M18" i="9"/>
  <c r="C41" i="56" l="1"/>
  <c r="E33" i="92"/>
  <c r="E34" i="92" s="1"/>
  <c r="I61" i="93"/>
  <c r="G21" i="94"/>
  <c r="I25" i="94"/>
  <c r="I21" i="94"/>
  <c r="E41" i="94"/>
  <c r="I41" i="94" s="1"/>
  <c r="F47" i="97"/>
  <c r="G47" i="97"/>
  <c r="H47" i="97"/>
  <c r="H51" i="97" s="1" a="1"/>
  <c r="H51" i="97" s="1"/>
  <c r="F19" i="90"/>
  <c r="G19" i="90"/>
  <c r="D44" i="90"/>
  <c r="F34" i="91" a="1"/>
  <c r="F34" i="91" s="1"/>
  <c r="E41" i="91" a="1"/>
  <c r="E41" i="91" s="1"/>
  <c r="G34" i="93" a="1"/>
  <c r="G34" i="93" s="1"/>
  <c r="I44" i="97"/>
  <c r="H19" i="90"/>
  <c r="E44" i="90"/>
  <c r="L59" i="93"/>
  <c r="M59" i="93" s="1"/>
  <c r="O59" i="93" s="1"/>
  <c r="C51" i="97" a="1"/>
  <c r="C51" i="97" s="1"/>
  <c r="E51" i="93" a="1"/>
  <c r="E51" i="93" s="1"/>
  <c r="F51" i="93" a="1"/>
  <c r="F51" i="93" s="1"/>
  <c r="D28" i="95"/>
  <c r="D40" i="95" s="1"/>
  <c r="F33" i="97"/>
  <c r="B35" i="97" s="1" a="1"/>
  <c r="B35" i="97" s="1"/>
  <c r="F28" i="95"/>
  <c r="E40" i="91" a="1"/>
  <c r="E40" i="91" s="1"/>
  <c r="K60" i="93"/>
  <c r="L60" i="93" s="1"/>
  <c r="M60" i="93" s="1"/>
  <c r="O60" i="93" s="1"/>
  <c r="I40" i="94"/>
  <c r="G26" i="94"/>
  <c r="G27" i="94" s="1"/>
  <c r="J22" i="94"/>
  <c r="I48" i="97"/>
  <c r="I43" i="94"/>
  <c r="H40" i="94"/>
  <c r="I24" i="96" a="1"/>
  <c r="I24" i="96" s="1"/>
  <c r="D36" i="89"/>
  <c r="D42" i="89"/>
  <c r="D38" i="89"/>
  <c r="D44" i="89"/>
  <c r="C58" i="92"/>
  <c r="D25" i="94"/>
  <c r="D27" i="94" s="1"/>
  <c r="E25" i="94"/>
  <c r="F25" i="94"/>
  <c r="E26" i="94"/>
  <c r="F26" i="94"/>
  <c r="F27" i="94" s="1"/>
  <c r="C40" i="95"/>
  <c r="F48" i="97"/>
  <c r="G43" i="97"/>
  <c r="D45" i="92"/>
  <c r="G33" i="93" a="1"/>
  <c r="G33" i="93" s="1"/>
  <c r="F42" i="94"/>
  <c r="J42" i="94" s="1"/>
  <c r="H22" i="94"/>
  <c r="D55" i="88"/>
  <c r="D43" i="89"/>
  <c r="D34" i="91" a="1"/>
  <c r="D34" i="91" s="1"/>
  <c r="N59" i="93"/>
  <c r="P59" i="93" s="1"/>
  <c r="F21" i="96"/>
  <c r="H21" i="96"/>
  <c r="I21" i="96"/>
  <c r="J19" i="96"/>
  <c r="J24" i="96" s="1" a="1"/>
  <c r="J24" i="96" s="1"/>
  <c r="F19" i="96"/>
  <c r="D34" i="96" a="1"/>
  <c r="D34" i="96" s="1"/>
  <c r="D38" i="96" s="1"/>
  <c r="D39" i="96" s="1"/>
  <c r="H48" i="97"/>
  <c r="F43" i="97"/>
  <c r="H24" i="96" a="1"/>
  <c r="H24" i="96" s="1"/>
  <c r="E34" i="91" a="1"/>
  <c r="E34" i="91" s="1"/>
  <c r="E50" i="93" a="1"/>
  <c r="E50" i="93" s="1"/>
  <c r="E53" i="93" s="1"/>
  <c r="E54" i="93" s="1"/>
  <c r="G39" i="94"/>
  <c r="H39" i="94"/>
  <c r="J39" i="94"/>
  <c r="C24" i="96" a="1"/>
  <c r="C24" i="96" s="1"/>
  <c r="F46" i="97"/>
  <c r="I46" i="97"/>
  <c r="I51" i="97" s="1" a="1"/>
  <c r="I51" i="97" s="1"/>
  <c r="I52" i="97" s="1" a="1"/>
  <c r="I52" i="97" s="1"/>
  <c r="L45" i="97" s="1"/>
  <c r="G46" i="97"/>
  <c r="I21" i="90"/>
  <c r="I46" i="90" s="1"/>
  <c r="H28" i="92"/>
  <c r="D33" i="92" s="1"/>
  <c r="C43" i="92"/>
  <c r="C45" i="92" s="1"/>
  <c r="E61" i="92" s="1"/>
  <c r="J28" i="92"/>
  <c r="D32" i="92"/>
  <c r="E43" i="92"/>
  <c r="I28" i="92"/>
  <c r="D43" i="92"/>
  <c r="I26" i="94"/>
  <c r="I27" i="94" s="1"/>
  <c r="G25" i="94"/>
  <c r="D46" i="94"/>
  <c r="D47" i="94" s="1"/>
  <c r="F46" i="94"/>
  <c r="D45" i="94"/>
  <c r="E45" i="94"/>
  <c r="E35" i="19"/>
  <c r="J73" i="19" s="1"/>
  <c r="E31" i="19"/>
  <c r="J69" i="19" s="1"/>
  <c r="F20" i="90"/>
  <c r="C44" i="92"/>
  <c r="F32" i="92"/>
  <c r="J27" i="92"/>
  <c r="F33" i="92" s="1"/>
  <c r="F34" i="92" s="1"/>
  <c r="K56" i="93"/>
  <c r="L56" i="93" s="1"/>
  <c r="M56" i="93" s="1"/>
  <c r="O56" i="93" s="1"/>
  <c r="F50" i="93" a="1"/>
  <c r="F50" i="93" s="1"/>
  <c r="F53" i="93" s="1"/>
  <c r="F54" i="93" s="1"/>
  <c r="F26" i="95"/>
  <c r="F14" i="21"/>
  <c r="G14" i="21" s="1"/>
  <c r="H14" i="21" s="1"/>
  <c r="I14" i="21" s="1"/>
  <c r="J14" i="21" s="1"/>
  <c r="K14" i="21" s="1"/>
  <c r="G40" i="21" s="1"/>
  <c r="G42" i="21" s="1"/>
  <c r="G43" i="21" s="1"/>
  <c r="G21" i="90"/>
  <c r="G46" i="90" s="1"/>
  <c r="K29" i="92"/>
  <c r="G33" i="92" s="1"/>
  <c r="G34" i="92" s="1"/>
  <c r="E34" i="93" a="1"/>
  <c r="E34" i="93" s="1"/>
  <c r="E35" i="93" s="1"/>
  <c r="H42" i="94"/>
  <c r="D41" i="94"/>
  <c r="H23" i="94"/>
  <c r="E35" i="96" a="1"/>
  <c r="E35" i="96" s="1"/>
  <c r="E33" i="96" a="1"/>
  <c r="E33" i="96" s="1"/>
  <c r="E38" i="96" s="1"/>
  <c r="E39" i="96" s="1"/>
  <c r="D52" i="97" a="1"/>
  <c r="D52" i="97" s="1"/>
  <c r="E51" i="97" a="1"/>
  <c r="E51" i="97" s="1"/>
  <c r="E52" i="97" s="1" a="1"/>
  <c r="E52" i="97" s="1"/>
  <c r="J29" i="92"/>
  <c r="K61" i="93"/>
  <c r="M58" i="93"/>
  <c r="O58" i="93" s="1"/>
  <c r="K57" i="93"/>
  <c r="L57" i="93" s="1"/>
  <c r="M57" i="93" s="1"/>
  <c r="D51" i="97" a="1"/>
  <c r="D51" i="97" s="1"/>
  <c r="I29" i="92"/>
  <c r="J61" i="93"/>
  <c r="J57" i="93"/>
  <c r="J43" i="94"/>
  <c r="J21" i="94"/>
  <c r="J25" i="94" s="1"/>
  <c r="D35" i="96" a="1"/>
  <c r="D35" i="96" s="1"/>
  <c r="E42" i="92"/>
  <c r="E45" i="92" s="1"/>
  <c r="K58" i="93"/>
  <c r="L58" i="93" s="1"/>
  <c r="N58" i="93" s="1"/>
  <c r="P58" i="93" s="1"/>
  <c r="I57" i="93"/>
  <c r="J40" i="94"/>
  <c r="E32" i="19"/>
  <c r="H43" i="94"/>
  <c r="H21" i="94"/>
  <c r="C35" i="96" a="1"/>
  <c r="C35" i="96" s="1"/>
  <c r="C38" i="96" s="1"/>
  <c r="C39" i="96" s="1"/>
  <c r="E44" i="96" s="1"/>
  <c r="I35" i="65"/>
  <c r="J35" i="65" s="1"/>
  <c r="L35" i="65" s="1"/>
  <c r="F53" i="81"/>
  <c r="H53" i="81"/>
  <c r="I53" i="81" s="1"/>
  <c r="H35" i="70"/>
  <c r="I36" i="65"/>
  <c r="J36" i="65" s="1"/>
  <c r="L36" i="65" s="1"/>
  <c r="K37" i="65"/>
  <c r="L37" i="65" s="1"/>
  <c r="K38" i="65"/>
  <c r="A49" i="71"/>
  <c r="E30" i="71"/>
  <c r="H30" i="71" s="1"/>
  <c r="A35" i="71"/>
  <c r="E28" i="71"/>
  <c r="H28" i="71" s="1"/>
  <c r="A33" i="71"/>
  <c r="E51" i="76"/>
  <c r="F51" i="76"/>
  <c r="G51" i="76" s="1"/>
  <c r="E47" i="76"/>
  <c r="F47" i="76"/>
  <c r="G47" i="76" s="1"/>
  <c r="E43" i="76"/>
  <c r="F43" i="76"/>
  <c r="G43" i="76" s="1"/>
  <c r="G42" i="78"/>
  <c r="I42" i="78" s="1"/>
  <c r="D71" i="78"/>
  <c r="H54" i="81"/>
  <c r="I54" i="81" s="1"/>
  <c r="H42" i="81"/>
  <c r="I42" i="81"/>
  <c r="F51" i="81"/>
  <c r="H51" i="81"/>
  <c r="I51" i="81"/>
  <c r="E70" i="85"/>
  <c r="F70" i="85"/>
  <c r="I23" i="77"/>
  <c r="J23" i="77"/>
  <c r="H29" i="71"/>
  <c r="I29" i="71" s="1"/>
  <c r="I31" i="73"/>
  <c r="J25" i="77"/>
  <c r="D74" i="78"/>
  <c r="F58" i="81"/>
  <c r="H58" i="81"/>
  <c r="I58" i="81" s="1"/>
  <c r="F56" i="81"/>
  <c r="H56" i="81"/>
  <c r="I56" i="81" s="1"/>
  <c r="F46" i="81"/>
  <c r="B64" i="81" s="1"/>
  <c r="F64" i="81" s="1"/>
  <c r="G64" i="81" s="1"/>
  <c r="H46" i="81"/>
  <c r="I46" i="81"/>
  <c r="F44" i="81"/>
  <c r="H44" i="81"/>
  <c r="I44" i="81" s="1"/>
  <c r="F41" i="81"/>
  <c r="H41" i="81"/>
  <c r="I41" i="81" s="1"/>
  <c r="C43" i="84"/>
  <c r="F47" i="84" s="1"/>
  <c r="C44" i="84"/>
  <c r="E47" i="84" s="1"/>
  <c r="E49" i="84" s="1"/>
  <c r="G60" i="67"/>
  <c r="H60" i="67" s="1"/>
  <c r="C34" i="66"/>
  <c r="E68" i="78"/>
  <c r="F68" i="78" s="1"/>
  <c r="G68" i="78" s="1"/>
  <c r="H68" i="78"/>
  <c r="I68" i="78" s="1"/>
  <c r="J68" i="78" s="1"/>
  <c r="L68" i="78"/>
  <c r="E41" i="79"/>
  <c r="C53" i="79" s="1"/>
  <c r="C54" i="79"/>
  <c r="C53" i="56"/>
  <c r="F38" i="65"/>
  <c r="G38" i="65" s="1"/>
  <c r="I38" i="65" s="1"/>
  <c r="J38" i="65" s="1"/>
  <c r="L38" i="65" s="1"/>
  <c r="F35" i="65"/>
  <c r="G35" i="65" s="1"/>
  <c r="E61" i="77"/>
  <c r="F61" i="77"/>
  <c r="I41" i="78"/>
  <c r="D36" i="82"/>
  <c r="E36" i="82" s="1"/>
  <c r="C41" i="82"/>
  <c r="D34" i="82"/>
  <c r="E34" i="82" s="1"/>
  <c r="F34" i="82" s="1"/>
  <c r="D37" i="82"/>
  <c r="E37" i="82" s="1"/>
  <c r="F37" i="82" s="1"/>
  <c r="D35" i="82"/>
  <c r="E35" i="82" s="1"/>
  <c r="F35" i="82" s="1"/>
  <c r="D38" i="82"/>
  <c r="E38" i="82" s="1"/>
  <c r="F38" i="82" s="1"/>
  <c r="G58" i="67"/>
  <c r="H58" i="67" s="1"/>
  <c r="A47" i="71"/>
  <c r="E49" i="76"/>
  <c r="F49" i="76"/>
  <c r="G49" i="76" s="1"/>
  <c r="E45" i="76"/>
  <c r="F45" i="76"/>
  <c r="G45" i="76" s="1"/>
  <c r="F57" i="76" s="1"/>
  <c r="E41" i="76"/>
  <c r="F41" i="76"/>
  <c r="G41" i="76" s="1"/>
  <c r="F50" i="81"/>
  <c r="H50" i="81"/>
  <c r="I50" i="81"/>
  <c r="C65" i="56"/>
  <c r="K35" i="65"/>
  <c r="K36" i="65"/>
  <c r="D71" i="75" a="1"/>
  <c r="D71" i="75" s="1"/>
  <c r="D36" i="70"/>
  <c r="E36" i="70" s="1"/>
  <c r="F36" i="70" s="1"/>
  <c r="H36" i="70" s="1"/>
  <c r="G36" i="70"/>
  <c r="A34" i="71"/>
  <c r="E29" i="71"/>
  <c r="F29" i="71" s="1"/>
  <c r="G29" i="71" s="1"/>
  <c r="A48" i="71"/>
  <c r="E50" i="69"/>
  <c r="E53" i="69" s="1"/>
  <c r="D55" i="69" s="1"/>
  <c r="D58" i="69" s="1"/>
  <c r="F50" i="69"/>
  <c r="F53" i="69" s="1"/>
  <c r="D56" i="69" s="1"/>
  <c r="D59" i="69" s="1"/>
  <c r="D60" i="69" s="1"/>
  <c r="I30" i="73"/>
  <c r="G43" i="78"/>
  <c r="I43" i="78" s="1"/>
  <c r="D72" i="78"/>
  <c r="I55" i="81"/>
  <c r="F55" i="81"/>
  <c r="I43" i="81"/>
  <c r="F43" i="81"/>
  <c r="D43" i="84"/>
  <c r="F48" i="84" s="1"/>
  <c r="D44" i="84"/>
  <c r="E48" i="84" s="1"/>
  <c r="E50" i="84" s="1"/>
  <c r="G59" i="67"/>
  <c r="H59" i="67" s="1"/>
  <c r="G65" i="68"/>
  <c r="C66" i="68" s="1" a="1"/>
  <c r="C66" i="68" s="1"/>
  <c r="G61" i="67"/>
  <c r="H61" i="67" s="1"/>
  <c r="I33" i="73"/>
  <c r="G60" i="77"/>
  <c r="E65" i="77"/>
  <c r="G27" i="77"/>
  <c r="D52" i="81"/>
  <c r="E53" i="76"/>
  <c r="F53" i="76"/>
  <c r="G53" i="76" s="1"/>
  <c r="F39" i="65"/>
  <c r="G39" i="65" s="1"/>
  <c r="I39" i="65" s="1"/>
  <c r="J39" i="65" s="1"/>
  <c r="L39" i="65" s="1"/>
  <c r="F36" i="65"/>
  <c r="G36" i="65" s="1"/>
  <c r="I66" i="66"/>
  <c r="F68" i="68"/>
  <c r="H68" i="68" s="1"/>
  <c r="H43" i="68"/>
  <c r="I43" i="68" s="1"/>
  <c r="C41" i="68" s="1" a="1"/>
  <c r="C41" i="68" s="1"/>
  <c r="G32" i="73"/>
  <c r="H32" i="73" s="1"/>
  <c r="I32" i="73" s="1"/>
  <c r="F66" i="68"/>
  <c r="H66" i="68" s="1"/>
  <c r="F28" i="71"/>
  <c r="G28" i="71" s="1"/>
  <c r="C80" i="78"/>
  <c r="C83" i="78" s="1"/>
  <c r="D53" i="78"/>
  <c r="F59" i="81"/>
  <c r="H59" i="81"/>
  <c r="I59" i="81"/>
  <c r="F54" i="81"/>
  <c r="F52" i="81"/>
  <c r="H52" i="81"/>
  <c r="I52" i="81"/>
  <c r="F47" i="81"/>
  <c r="H47" i="81"/>
  <c r="I47" i="81"/>
  <c r="F42" i="81"/>
  <c r="G34" i="70"/>
  <c r="H34" i="70" s="1"/>
  <c r="H24" i="77"/>
  <c r="D70" i="78"/>
  <c r="D69" i="78"/>
  <c r="G40" i="78"/>
  <c r="I40" i="78" s="1"/>
  <c r="F38" i="78"/>
  <c r="D28" i="80"/>
  <c r="C54" i="80" s="1"/>
  <c r="C55" i="80" s="1"/>
  <c r="F49" i="81"/>
  <c r="H49" i="81"/>
  <c r="I49" i="81" s="1"/>
  <c r="K66" i="85"/>
  <c r="I45" i="81"/>
  <c r="D65" i="85"/>
  <c r="E65" i="85" s="1"/>
  <c r="G35" i="70"/>
  <c r="K31" i="75"/>
  <c r="M31" i="75" s="1"/>
  <c r="K30" i="75"/>
  <c r="M30" i="75" s="1"/>
  <c r="K29" i="75"/>
  <c r="M29" i="75" s="1"/>
  <c r="K28" i="75"/>
  <c r="M28" i="75" s="1"/>
  <c r="K27" i="75"/>
  <c r="M27" i="75" s="1"/>
  <c r="H44" i="78"/>
  <c r="H41" i="78"/>
  <c r="L60" i="81"/>
  <c r="H57" i="81"/>
  <c r="I57" i="81" s="1"/>
  <c r="L48" i="81"/>
  <c r="H45" i="81"/>
  <c r="F68" i="85"/>
  <c r="G68" i="85" s="1"/>
  <c r="H68" i="85" s="1"/>
  <c r="I68" i="85" s="1"/>
  <c r="K68" i="85" s="1"/>
  <c r="E33" i="19"/>
  <c r="J71" i="19" s="1"/>
  <c r="C65" i="77"/>
  <c r="C70" i="78"/>
  <c r="E44" i="78"/>
  <c r="F44" i="78" s="1"/>
  <c r="C23" i="80"/>
  <c r="D34" i="73"/>
  <c r="C67" i="66"/>
  <c r="E51" i="78"/>
  <c r="F51" i="78" s="1"/>
  <c r="H38" i="78"/>
  <c r="H26" i="77"/>
  <c r="H22" i="77"/>
  <c r="E61" i="75"/>
  <c r="E58" i="75"/>
  <c r="E64" i="75" s="1" a="1"/>
  <c r="E64" i="75" s="1"/>
  <c r="F64" i="77"/>
  <c r="F60" i="77"/>
  <c r="F65" i="77" s="1"/>
  <c r="C67" i="78"/>
  <c r="H42" i="43"/>
  <c r="I42" i="43"/>
  <c r="E41" i="45"/>
  <c r="F45" i="45"/>
  <c r="F48" i="45" s="1"/>
  <c r="D50" i="46"/>
  <c r="D51" i="46"/>
  <c r="D37" i="49"/>
  <c r="H41" i="43"/>
  <c r="I41" i="43"/>
  <c r="G25" i="61"/>
  <c r="H25" i="61" s="1"/>
  <c r="I25" i="61" s="1"/>
  <c r="F19" i="63"/>
  <c r="B20" i="64"/>
  <c r="H40" i="43"/>
  <c r="I40" i="43"/>
  <c r="F20" i="63"/>
  <c r="H37" i="60"/>
  <c r="H41" i="60" s="1"/>
  <c r="I37" i="60"/>
  <c r="B52" i="42"/>
  <c r="B69" i="42"/>
  <c r="I38" i="43"/>
  <c r="H38" i="43"/>
  <c r="D43" i="59"/>
  <c r="F46" i="59" s="1"/>
  <c r="D44" i="59"/>
  <c r="I44" i="43"/>
  <c r="H44" i="43"/>
  <c r="G56" i="48"/>
  <c r="E51" i="52"/>
  <c r="E45" i="52"/>
  <c r="D41" i="53"/>
  <c r="D44" i="53" s="1"/>
  <c r="H45" i="43"/>
  <c r="I45" i="43"/>
  <c r="H37" i="43"/>
  <c r="I37" i="43"/>
  <c r="G47" i="43"/>
  <c r="G31" i="57" a="1"/>
  <c r="G31" i="57" s="1"/>
  <c r="H31" i="57" s="1"/>
  <c r="F32" i="57"/>
  <c r="D45" i="58"/>
  <c r="E45" i="58" s="1"/>
  <c r="F45" i="58" s="1"/>
  <c r="F48" i="58" s="1"/>
  <c r="E25" i="45"/>
  <c r="F22" i="45"/>
  <c r="F44" i="51"/>
  <c r="E53" i="51" s="1"/>
  <c r="H39" i="52"/>
  <c r="E43" i="52" s="1"/>
  <c r="E47" i="52" s="1"/>
  <c r="E53" i="52" s="1"/>
  <c r="H44" i="53"/>
  <c r="C50" i="53" s="1"/>
  <c r="I26" i="61"/>
  <c r="H39" i="43"/>
  <c r="I39" i="43"/>
  <c r="G54" i="48"/>
  <c r="E55" i="48"/>
  <c r="G55" i="48" s="1"/>
  <c r="H46" i="43"/>
  <c r="I46" i="43"/>
  <c r="H43" i="43"/>
  <c r="I43" i="43"/>
  <c r="F26" i="49"/>
  <c r="E46" i="45"/>
  <c r="D52" i="46"/>
  <c r="H30" i="57"/>
  <c r="C30" i="57" s="1"/>
  <c r="C41" i="57" s="1"/>
  <c r="C52" i="57" s="1"/>
  <c r="I27" i="61"/>
  <c r="E92" i="44"/>
  <c r="E95" i="44" s="1"/>
  <c r="F97" i="44" s="1"/>
  <c r="E29" i="44"/>
  <c r="E31" i="47"/>
  <c r="F31" i="47" s="1"/>
  <c r="E49" i="41"/>
  <c r="E24" i="61"/>
  <c r="G24" i="61" s="1"/>
  <c r="H24" i="61" s="1"/>
  <c r="D25" i="64"/>
  <c r="G57" i="48"/>
  <c r="G53" i="48"/>
  <c r="G51" i="48"/>
  <c r="F21" i="49"/>
  <c r="D24" i="61"/>
  <c r="E51" i="62"/>
  <c r="D95" i="44"/>
  <c r="F98" i="44" s="1"/>
  <c r="H26" i="48"/>
  <c r="G26" i="48"/>
  <c r="I40" i="60"/>
  <c r="G39" i="38"/>
  <c r="H39" i="38" s="1"/>
  <c r="G38" i="38"/>
  <c r="H38" i="38"/>
  <c r="I40" i="38"/>
  <c r="J34" i="38"/>
  <c r="J37" i="38"/>
  <c r="J38" i="38"/>
  <c r="G36" i="38"/>
  <c r="H36" i="38" s="1"/>
  <c r="H40" i="38" s="1"/>
  <c r="G35" i="38"/>
  <c r="D163" i="40"/>
  <c r="E83" i="40"/>
  <c r="E124" i="40"/>
  <c r="F124" i="40" s="1"/>
  <c r="G124" i="40" s="1"/>
  <c r="D138" i="40" s="1"/>
  <c r="J39" i="38"/>
  <c r="D55" i="39"/>
  <c r="E37" i="39"/>
  <c r="E40" i="39"/>
  <c r="D58" i="39"/>
  <c r="E63" i="40"/>
  <c r="F62" i="40"/>
  <c r="E133" i="40"/>
  <c r="D54" i="39"/>
  <c r="E36" i="39"/>
  <c r="C140" i="40"/>
  <c r="D162" i="40" s="1"/>
  <c r="D53" i="39"/>
  <c r="E35" i="39"/>
  <c r="E42" i="39" s="1"/>
  <c r="G192" i="40"/>
  <c r="I192" i="40" s="1"/>
  <c r="F125" i="40"/>
  <c r="G125" i="40" s="1"/>
  <c r="D139" i="40" s="1"/>
  <c r="E40" i="38"/>
  <c r="D40" i="38"/>
  <c r="H35" i="38"/>
  <c r="J35" i="38" s="1"/>
  <c r="F196" i="40"/>
  <c r="G196" i="40" s="1"/>
  <c r="I196" i="40" s="1"/>
  <c r="J196" i="40" s="1"/>
  <c r="H193" i="40"/>
  <c r="J190" i="40"/>
  <c r="C50" i="40"/>
  <c r="F193" i="40"/>
  <c r="B39" i="39"/>
  <c r="H37" i="38"/>
  <c r="D51" i="39"/>
  <c r="E15" i="21"/>
  <c r="F15" i="21" s="1"/>
  <c r="G15" i="21" s="1"/>
  <c r="H15" i="21" s="1"/>
  <c r="I15" i="21" s="1"/>
  <c r="J15" i="21" s="1"/>
  <c r="K15" i="21" s="1"/>
  <c r="D29" i="19"/>
  <c r="B67" i="19" s="1"/>
  <c r="I54" i="34"/>
  <c r="I59" i="34"/>
  <c r="I55" i="34"/>
  <c r="I58" i="34"/>
  <c r="I57" i="34"/>
  <c r="I56" i="34"/>
  <c r="S76" i="34"/>
  <c r="S84" i="34"/>
  <c r="T83" i="34" s="1"/>
  <c r="R84" i="34"/>
  <c r="T82" i="34" s="1"/>
  <c r="R83" i="34"/>
  <c r="S82" i="34" s="1"/>
  <c r="Q84" i="34"/>
  <c r="T81" i="34" s="1"/>
  <c r="Q83" i="34"/>
  <c r="S81" i="34" s="1"/>
  <c r="Q82" i="34"/>
  <c r="R81" i="34" s="1"/>
  <c r="H90" i="27"/>
  <c r="I90" i="27" s="1"/>
  <c r="H91" i="27"/>
  <c r="I91" i="27" s="1"/>
  <c r="D61" i="27"/>
  <c r="D87" i="27" s="1"/>
  <c r="D88" i="27" s="1"/>
  <c r="H88" i="27" s="1"/>
  <c r="E61" i="27"/>
  <c r="E87" i="27" s="1"/>
  <c r="E88" i="27" s="1"/>
  <c r="I88" i="27" s="1"/>
  <c r="C70" i="28"/>
  <c r="D70" i="28"/>
  <c r="F26" i="28"/>
  <c r="E26" i="28"/>
  <c r="G61" i="29"/>
  <c r="E79" i="29" s="1"/>
  <c r="G69" i="28"/>
  <c r="F51" i="30"/>
  <c r="D88" i="29"/>
  <c r="C92" i="29"/>
  <c r="D92" i="29" s="1"/>
  <c r="H31" i="19"/>
  <c r="C32" i="26"/>
  <c r="D25" i="28"/>
  <c r="J28" i="19"/>
  <c r="H28" i="19"/>
  <c r="F30" i="30"/>
  <c r="F53" i="30" s="1"/>
  <c r="B61" i="29"/>
  <c r="D61" i="29" s="1"/>
  <c r="F28" i="30"/>
  <c r="F33" i="30" s="1"/>
  <c r="F35" i="30" s="1"/>
  <c r="J30" i="19"/>
  <c r="G13" i="21"/>
  <c r="H13" i="21" s="1"/>
  <c r="I13" i="21" s="1"/>
  <c r="J13" i="21" s="1"/>
  <c r="K13" i="21" s="1"/>
  <c r="C34" i="26"/>
  <c r="D34" i="26" s="1"/>
  <c r="I11" i="21"/>
  <c r="J11" i="21" s="1"/>
  <c r="K11" i="21" s="1"/>
  <c r="H32" i="19"/>
  <c r="H30" i="19"/>
  <c r="D69" i="22"/>
  <c r="D71" i="22" s="1"/>
  <c r="F56" i="22"/>
  <c r="F57" i="22" s="1"/>
  <c r="F74" i="22"/>
  <c r="F75" i="22" s="1"/>
  <c r="F76" i="22" s="1"/>
  <c r="G29" i="23"/>
  <c r="D51" i="22"/>
  <c r="C58" i="24"/>
  <c r="G75" i="22"/>
  <c r="G76" i="22" s="1"/>
  <c r="F23" i="23"/>
  <c r="G23" i="23" s="1"/>
  <c r="F27" i="23"/>
  <c r="G27" i="23" s="1"/>
  <c r="D58" i="24"/>
  <c r="D60" i="24" s="1"/>
  <c r="D16" i="21"/>
  <c r="E16" i="21" s="1"/>
  <c r="F16" i="21" s="1"/>
  <c r="G16" i="21" s="1"/>
  <c r="H16" i="21" s="1"/>
  <c r="I16" i="21" s="1"/>
  <c r="J16" i="21" s="1"/>
  <c r="K16" i="21" s="1"/>
  <c r="D74" i="22"/>
  <c r="D75" i="22" s="1"/>
  <c r="D76" i="22" s="1"/>
  <c r="C45" i="22"/>
  <c r="C51" i="22" s="1"/>
  <c r="E74" i="22"/>
  <c r="E75" i="22" s="1"/>
  <c r="E76" i="22" s="1"/>
  <c r="J70" i="19"/>
  <c r="C74" i="22"/>
  <c r="D36" i="19"/>
  <c r="B74" i="19" s="1"/>
  <c r="D30" i="19"/>
  <c r="B68" i="19" s="1"/>
  <c r="B74" i="22"/>
  <c r="D47" i="22"/>
  <c r="I23" i="21" a="1"/>
  <c r="I23" i="21" s="1"/>
  <c r="J23" i="21" s="1"/>
  <c r="J24" i="21" s="1"/>
  <c r="N8" i="21" s="1"/>
  <c r="O8" i="21" s="1"/>
  <c r="C33" i="21" s="1"/>
  <c r="D35" i="19"/>
  <c r="B73" i="19" s="1"/>
  <c r="D33" i="19"/>
  <c r="B71" i="19" s="1"/>
  <c r="K9" i="21"/>
  <c r="E46" i="22"/>
  <c r="E51" i="22" s="1"/>
  <c r="E52" i="22" s="1"/>
  <c r="E56" i="22" s="1"/>
  <c r="E57" i="22" s="1"/>
  <c r="F31" i="19"/>
  <c r="S69" i="19" s="1"/>
  <c r="J10" i="21"/>
  <c r="K10" i="21" s="1"/>
  <c r="D32" i="19"/>
  <c r="B70" i="19" s="1"/>
  <c r="I29" i="19"/>
  <c r="D34" i="19"/>
  <c r="B72" i="19" s="1"/>
  <c r="D31" i="19"/>
  <c r="B69" i="19" s="1"/>
  <c r="H12" i="21"/>
  <c r="I12" i="21" s="1"/>
  <c r="J12" i="21" s="1"/>
  <c r="K12" i="21" s="1"/>
  <c r="D102" i="13"/>
  <c r="G16" i="12"/>
  <c r="G10" i="12"/>
  <c r="G56" i="18"/>
  <c r="H56" i="18" s="1"/>
  <c r="I15" i="9"/>
  <c r="J15" i="9"/>
  <c r="I10" i="9"/>
  <c r="J10" i="9"/>
  <c r="J19" i="9"/>
  <c r="K15" i="9" s="1"/>
  <c r="I12" i="9"/>
  <c r="J12" i="9"/>
  <c r="J14" i="15"/>
  <c r="K14" i="15"/>
  <c r="B47" i="17"/>
  <c r="B58" i="17" s="1"/>
  <c r="C58" i="17" s="1"/>
  <c r="J16" i="9"/>
  <c r="D41" i="12"/>
  <c r="H13" i="12"/>
  <c r="D84" i="13"/>
  <c r="B65" i="15"/>
  <c r="E84" i="13"/>
  <c r="E101" i="13" s="1"/>
  <c r="C58" i="16"/>
  <c r="F58" i="16"/>
  <c r="G17" i="12"/>
  <c r="D40" i="13"/>
  <c r="W54" i="17"/>
  <c r="I35" i="18"/>
  <c r="C68" i="18" s="1"/>
  <c r="I16" i="9"/>
  <c r="E29" i="10"/>
  <c r="F29" i="10" s="1"/>
  <c r="G29" i="10" s="1"/>
  <c r="H29" i="10" s="1"/>
  <c r="I29" i="10" s="1"/>
  <c r="K8" i="15"/>
  <c r="C53" i="16"/>
  <c r="F53" i="16"/>
  <c r="E66" i="18"/>
  <c r="H48" i="18"/>
  <c r="F55" i="16"/>
  <c r="E25" i="16"/>
  <c r="G55" i="18"/>
  <c r="H55" i="18" s="1"/>
  <c r="D71" i="14"/>
  <c r="C43" i="14"/>
  <c r="W55" i="17"/>
  <c r="G51" i="18"/>
  <c r="H51" i="18" s="1"/>
  <c r="C54" i="16"/>
  <c r="F54" i="16"/>
  <c r="R99" i="19"/>
  <c r="S106" i="19" s="1"/>
  <c r="R100" i="19"/>
  <c r="T106" i="19" s="1"/>
  <c r="R101" i="19"/>
  <c r="R102" i="19"/>
  <c r="R103" i="19"/>
  <c r="S99" i="19"/>
  <c r="S105" i="19" s="1"/>
  <c r="S100" i="19"/>
  <c r="T105" i="19" s="1"/>
  <c r="S101" i="19"/>
  <c r="S102" i="19"/>
  <c r="S103" i="19"/>
  <c r="H27" i="10"/>
  <c r="I27" i="10" s="1"/>
  <c r="J27" i="10" s="1"/>
  <c r="C35" i="11"/>
  <c r="D35" i="11" s="1"/>
  <c r="D37" i="11" s="1"/>
  <c r="D38" i="11" s="1"/>
  <c r="I7" i="15"/>
  <c r="W56" i="17"/>
  <c r="W52" i="17"/>
  <c r="I36" i="18"/>
  <c r="J26" i="10"/>
  <c r="K12" i="12"/>
  <c r="H12" i="12" s="1"/>
  <c r="K14" i="12"/>
  <c r="H14" i="12" s="1"/>
  <c r="B40" i="12"/>
  <c r="D40" i="12" s="1"/>
  <c r="J11" i="15"/>
  <c r="K11" i="15"/>
  <c r="D67" i="18"/>
  <c r="D68" i="18"/>
  <c r="D70" i="18" s="1"/>
  <c r="D69" i="18"/>
  <c r="A52" i="18"/>
  <c r="G49" i="18"/>
  <c r="H49" i="18" s="1"/>
  <c r="K99" i="19" a="1"/>
  <c r="J14" i="9"/>
  <c r="D40" i="10"/>
  <c r="K17" i="9"/>
  <c r="K9" i="12"/>
  <c r="H9" i="12" s="1"/>
  <c r="K11" i="12"/>
  <c r="H11" i="12" s="1"/>
  <c r="B39" i="12"/>
  <c r="D39" i="12" s="1"/>
  <c r="K8" i="12"/>
  <c r="H8" i="12" s="1"/>
  <c r="B64" i="15"/>
  <c r="I6" i="15"/>
  <c r="C54" i="18"/>
  <c r="E39" i="18"/>
  <c r="F54" i="18" s="1"/>
  <c r="G31" i="19"/>
  <c r="G30" i="19"/>
  <c r="G29" i="19"/>
  <c r="G33" i="19"/>
  <c r="G32" i="19"/>
  <c r="I14" i="9"/>
  <c r="H40" i="10"/>
  <c r="D34" i="11"/>
  <c r="G84" i="13"/>
  <c r="G101" i="13" s="1"/>
  <c r="J10" i="15"/>
  <c r="K10" i="15"/>
  <c r="W53" i="17"/>
  <c r="W49" i="17"/>
  <c r="D99" i="19" a="1"/>
  <c r="F32" i="19"/>
  <c r="S70" i="19" s="1"/>
  <c r="AD29" i="20"/>
  <c r="AD27" i="20"/>
  <c r="AD25" i="20"/>
  <c r="AD23" i="20"/>
  <c r="AD21" i="20"/>
  <c r="AD19" i="20"/>
  <c r="AD17" i="20"/>
  <c r="AD15" i="20"/>
  <c r="AD13" i="20"/>
  <c r="AD11" i="20"/>
  <c r="AD9" i="20"/>
  <c r="AD7" i="20"/>
  <c r="AD5" i="20"/>
  <c r="I28" i="19"/>
  <c r="AL38" i="20"/>
  <c r="AL36" i="20"/>
  <c r="AL34" i="20"/>
  <c r="AL32" i="20"/>
  <c r="AT30" i="20"/>
  <c r="F33" i="19"/>
  <c r="S71" i="19" s="1"/>
  <c r="AD38" i="20"/>
  <c r="AD36" i="20"/>
  <c r="AD34" i="20"/>
  <c r="AD32" i="20"/>
  <c r="F34" i="19"/>
  <c r="S72" i="19" s="1"/>
  <c r="F28" i="19"/>
  <c r="S66" i="19" s="1"/>
  <c r="AL28" i="20"/>
  <c r="AL26" i="20"/>
  <c r="AL24" i="20"/>
  <c r="AL22" i="20"/>
  <c r="AL20" i="20"/>
  <c r="AL18" i="20"/>
  <c r="AL16" i="20"/>
  <c r="AL14" i="20"/>
  <c r="AL12" i="20"/>
  <c r="AL10" i="20"/>
  <c r="AL8" i="20"/>
  <c r="AL6" i="20"/>
  <c r="AL4" i="20"/>
  <c r="F57" i="16"/>
  <c r="E34" i="19"/>
  <c r="J72" i="19" s="1"/>
  <c r="I30" i="19"/>
  <c r="E28" i="19"/>
  <c r="J66" i="19" s="1"/>
  <c r="AT39" i="20"/>
  <c r="AT37" i="20"/>
  <c r="AT35" i="20"/>
  <c r="AT33" i="20"/>
  <c r="AD30" i="20"/>
  <c r="F29" i="19"/>
  <c r="S67" i="19" s="1"/>
  <c r="AT31" i="20"/>
  <c r="AD28" i="20"/>
  <c r="AD26" i="20"/>
  <c r="AD24" i="20"/>
  <c r="AD22" i="20"/>
  <c r="AD20" i="20"/>
  <c r="AD18" i="20"/>
  <c r="AD16" i="20"/>
  <c r="AD14" i="20"/>
  <c r="AD12" i="20"/>
  <c r="AD10" i="20"/>
  <c r="AD8" i="20"/>
  <c r="AD6" i="20"/>
  <c r="AD4" i="20"/>
  <c r="I9" i="15"/>
  <c r="E29" i="19"/>
  <c r="J67" i="19" s="1"/>
  <c r="AL39" i="20"/>
  <c r="AL37" i="20"/>
  <c r="AL35" i="20"/>
  <c r="AL33" i="20"/>
  <c r="AT29" i="20"/>
  <c r="AT27" i="20"/>
  <c r="AT25" i="20"/>
  <c r="AT23" i="20"/>
  <c r="AT21" i="20"/>
  <c r="AT19" i="20"/>
  <c r="AT17" i="20"/>
  <c r="AT15" i="20"/>
  <c r="AT13" i="20"/>
  <c r="AT11" i="20"/>
  <c r="AT9" i="20"/>
  <c r="AT7" i="20"/>
  <c r="AD39" i="20"/>
  <c r="AD37" i="20"/>
  <c r="AD35" i="20"/>
  <c r="H52" i="97" l="1" a="1"/>
  <c r="H52" i="97" s="1"/>
  <c r="L44" i="97" s="1"/>
  <c r="E53" i="97" s="1"/>
  <c r="E54" i="97" s="1"/>
  <c r="E55" i="97" s="1"/>
  <c r="L61" i="93"/>
  <c r="N57" i="93"/>
  <c r="P57" i="93" s="1"/>
  <c r="G51" i="97" a="1"/>
  <c r="G51" i="97" s="1"/>
  <c r="G52" i="97" s="1" a="1"/>
  <c r="G52" i="97" s="1"/>
  <c r="L43" i="97" s="1"/>
  <c r="D53" i="97" s="1"/>
  <c r="D54" i="97" s="1"/>
  <c r="D55" i="97" s="1"/>
  <c r="G44" i="90"/>
  <c r="G22" i="90"/>
  <c r="F26" i="90" s="1"/>
  <c r="F51" i="97" a="1"/>
  <c r="F51" i="97" s="1"/>
  <c r="F52" i="97" a="1"/>
  <c r="F52" i="97" s="1"/>
  <c r="D41" i="91"/>
  <c r="D44" i="91" s="1"/>
  <c r="D45" i="91" s="1"/>
  <c r="E44" i="91"/>
  <c r="E45" i="91" s="1"/>
  <c r="I19" i="90"/>
  <c r="F44" i="90"/>
  <c r="E35" i="91"/>
  <c r="E36" i="91" s="1"/>
  <c r="D35" i="91"/>
  <c r="D36" i="91" s="1"/>
  <c r="O57" i="93"/>
  <c r="J26" i="94"/>
  <c r="J27" i="94" s="1"/>
  <c r="D46" i="89"/>
  <c r="D47" i="89" s="1"/>
  <c r="F40" i="95"/>
  <c r="C29" i="95"/>
  <c r="C30" i="95" s="1"/>
  <c r="C48" i="95" s="1"/>
  <c r="E29" i="95"/>
  <c r="E30" i="95" s="1"/>
  <c r="D29" i="95"/>
  <c r="D30" i="95" s="1"/>
  <c r="E37" i="95"/>
  <c r="D48" i="95"/>
  <c r="G45" i="94"/>
  <c r="H45" i="94"/>
  <c r="F24" i="96" a="1"/>
  <c r="F24" i="96" s="1"/>
  <c r="E27" i="94"/>
  <c r="F45" i="94"/>
  <c r="F47" i="94" s="1"/>
  <c r="B36" i="97" a="1"/>
  <c r="B36" i="97" s="1"/>
  <c r="B37" i="97" s="1"/>
  <c r="C61" i="97" s="1"/>
  <c r="D69" i="93"/>
  <c r="N60" i="93"/>
  <c r="P60" i="93" s="1"/>
  <c r="H26" i="94"/>
  <c r="G41" i="94"/>
  <c r="G46" i="94" s="1"/>
  <c r="G47" i="94" s="1"/>
  <c r="M38" i="94" s="1"/>
  <c r="H41" i="94"/>
  <c r="J41" i="94"/>
  <c r="J46" i="94" s="1"/>
  <c r="J47" i="94" s="1"/>
  <c r="C60" i="92"/>
  <c r="C61" i="92" s="1"/>
  <c r="C64" i="92" s="1"/>
  <c r="C65" i="92" s="1"/>
  <c r="C59" i="92"/>
  <c r="J45" i="94"/>
  <c r="F45" i="90"/>
  <c r="I20" i="90"/>
  <c r="I45" i="90" s="1"/>
  <c r="J45" i="90" s="1"/>
  <c r="E46" i="94"/>
  <c r="E47" i="94" s="1"/>
  <c r="D34" i="92"/>
  <c r="N56" i="93"/>
  <c r="P56" i="93" s="1"/>
  <c r="H46" i="94"/>
  <c r="H47" i="94" s="1"/>
  <c r="H44" i="90"/>
  <c r="H22" i="90"/>
  <c r="E26" i="90" s="1"/>
  <c r="G35" i="93"/>
  <c r="E45" i="93"/>
  <c r="E46" i="93" s="1"/>
  <c r="F45" i="93"/>
  <c r="F46" i="93" s="1"/>
  <c r="D66" i="93"/>
  <c r="C52" i="97" a="1"/>
  <c r="C52" i="97" s="1"/>
  <c r="H25" i="94"/>
  <c r="J46" i="90"/>
  <c r="I42" i="94"/>
  <c r="I46" i="94" s="1"/>
  <c r="F58" i="76"/>
  <c r="C57" i="76" s="1"/>
  <c r="D57" i="76" s="1"/>
  <c r="K54" i="81"/>
  <c r="L54" i="81"/>
  <c r="K58" i="81"/>
  <c r="L58" i="81"/>
  <c r="H37" i="70"/>
  <c r="H39" i="70" s="1"/>
  <c r="I68" i="70" s="1"/>
  <c r="K41" i="81"/>
  <c r="L41" i="81"/>
  <c r="B72" i="81" a="1"/>
  <c r="B72" i="81" s="1"/>
  <c r="K57" i="81"/>
  <c r="L57" i="81" s="1"/>
  <c r="K49" i="81"/>
  <c r="L49" i="81"/>
  <c r="K53" i="81"/>
  <c r="L53" i="81"/>
  <c r="E74" i="78"/>
  <c r="F74" i="78" s="1"/>
  <c r="G74" i="78" s="1"/>
  <c r="L74" i="78" s="1"/>
  <c r="H74" i="78"/>
  <c r="I74" i="78" s="1"/>
  <c r="J74" i="78" s="1"/>
  <c r="K50" i="81"/>
  <c r="L50" i="81"/>
  <c r="K52" i="81"/>
  <c r="L52" i="81"/>
  <c r="I22" i="77"/>
  <c r="I27" i="77" s="1"/>
  <c r="H69" i="78"/>
  <c r="I69" i="78" s="1"/>
  <c r="J69" i="78" s="1"/>
  <c r="E69" i="78"/>
  <c r="F69" i="78" s="1"/>
  <c r="G69" i="78" s="1"/>
  <c r="K43" i="81"/>
  <c r="L43" i="81" s="1"/>
  <c r="J29" i="71"/>
  <c r="B34" i="71" s="1"/>
  <c r="C42" i="82"/>
  <c r="C43" i="82" s="1"/>
  <c r="C44" i="82" s="1"/>
  <c r="C46" i="82" s="1"/>
  <c r="D46" i="82" s="1"/>
  <c r="F65" i="85"/>
  <c r="G65" i="85" s="1"/>
  <c r="H65" i="85" s="1"/>
  <c r="I65" i="85" s="1"/>
  <c r="K65" i="85" s="1"/>
  <c r="K71" i="85" s="1"/>
  <c r="B75" i="85" s="1"/>
  <c r="F50" i="84"/>
  <c r="G50" i="84" s="1"/>
  <c r="H50" i="84" s="1"/>
  <c r="G48" i="84"/>
  <c r="H48" i="84" s="1"/>
  <c r="J28" i="71"/>
  <c r="B33" i="71" s="1"/>
  <c r="K44" i="81"/>
  <c r="L44" i="81" s="1"/>
  <c r="D67" i="78"/>
  <c r="G38" i="78"/>
  <c r="I38" i="78" s="1"/>
  <c r="L69" i="78"/>
  <c r="K46" i="81"/>
  <c r="L46" i="81"/>
  <c r="I26" i="77"/>
  <c r="J26" i="77"/>
  <c r="E70" i="78"/>
  <c r="F70" i="78" s="1"/>
  <c r="G70" i="78" s="1"/>
  <c r="H70" i="78"/>
  <c r="I70" i="78" s="1"/>
  <c r="J70" i="78" s="1"/>
  <c r="L70" i="78" s="1"/>
  <c r="D80" i="78" s="1"/>
  <c r="I28" i="71"/>
  <c r="K55" i="81"/>
  <c r="L55" i="81"/>
  <c r="F36" i="82"/>
  <c r="K56" i="81"/>
  <c r="L56" i="81" s="1"/>
  <c r="E71" i="78"/>
  <c r="F71" i="78" s="1"/>
  <c r="G71" i="78" s="1"/>
  <c r="H71" i="78"/>
  <c r="I71" i="78" s="1"/>
  <c r="J71" i="78" s="1"/>
  <c r="H62" i="67"/>
  <c r="H64" i="67" s="1"/>
  <c r="L71" i="78"/>
  <c r="D81" i="78" s="1"/>
  <c r="L41" i="65"/>
  <c r="B43" i="65" s="1"/>
  <c r="D73" i="78"/>
  <c r="G44" i="78"/>
  <c r="I44" i="78" s="1"/>
  <c r="I34" i="73"/>
  <c r="B37" i="73" s="1"/>
  <c r="K47" i="81"/>
  <c r="L47" i="81"/>
  <c r="C55" i="79"/>
  <c r="C56" i="79" s="1"/>
  <c r="K45" i="81"/>
  <c r="L45" i="81" s="1"/>
  <c r="E72" i="78"/>
  <c r="F72" i="78" s="1"/>
  <c r="G72" i="78" s="1"/>
  <c r="L72" i="78" s="1"/>
  <c r="H72" i="78"/>
  <c r="I72" i="78" s="1"/>
  <c r="J72" i="78" s="1"/>
  <c r="I30" i="71"/>
  <c r="D67" i="66"/>
  <c r="H67" i="66" s="1"/>
  <c r="I67" i="66"/>
  <c r="F30" i="71"/>
  <c r="G30" i="71" s="1"/>
  <c r="G70" i="85"/>
  <c r="H70" i="85" s="1"/>
  <c r="I70" i="85" s="1"/>
  <c r="K70" i="85" s="1"/>
  <c r="I24" i="77"/>
  <c r="J24" i="77"/>
  <c r="K59" i="81"/>
  <c r="L59" i="81"/>
  <c r="C40" i="68" a="1"/>
  <c r="C40" i="68" s="1"/>
  <c r="G47" i="84"/>
  <c r="H47" i="84" s="1"/>
  <c r="F49" i="84"/>
  <c r="G49" i="84" s="1"/>
  <c r="H49" i="84" s="1"/>
  <c r="K51" i="81"/>
  <c r="L51" i="81"/>
  <c r="B34" i="75" a="1"/>
  <c r="B34" i="75" s="1"/>
  <c r="H60" i="77"/>
  <c r="I60" i="77" s="1"/>
  <c r="G61" i="77"/>
  <c r="K42" i="81"/>
  <c r="L42" i="81"/>
  <c r="E50" i="78"/>
  <c r="F50" i="78" s="1"/>
  <c r="G59" i="48"/>
  <c r="F33" i="57"/>
  <c r="G32" i="57" a="1"/>
  <c r="G32" i="57" s="1"/>
  <c r="H32" i="57" s="1"/>
  <c r="C32" i="57" s="1"/>
  <c r="C43" i="57" s="1"/>
  <c r="H55" i="48"/>
  <c r="C31" i="57"/>
  <c r="C42" i="57" s="1"/>
  <c r="I41" i="60"/>
  <c r="H56" i="48"/>
  <c r="I24" i="61"/>
  <c r="H54" i="48"/>
  <c r="F46" i="45"/>
  <c r="F49" i="45" s="1"/>
  <c r="F41" i="45"/>
  <c r="F50" i="41"/>
  <c r="G51" i="41" s="1"/>
  <c r="H52" i="41" s="1"/>
  <c r="F49" i="41"/>
  <c r="H57" i="48"/>
  <c r="D44" i="49"/>
  <c r="D47" i="49"/>
  <c r="I47" i="43"/>
  <c r="I49" i="43" s="1"/>
  <c r="C63" i="43" s="1"/>
  <c r="H51" i="48"/>
  <c r="H47" i="43"/>
  <c r="H49" i="43" s="1"/>
  <c r="C62" i="43" s="1"/>
  <c r="J192" i="40"/>
  <c r="F79" i="40"/>
  <c r="J36" i="38"/>
  <c r="J40" i="38" s="1"/>
  <c r="F63" i="40"/>
  <c r="F80" i="40" s="1"/>
  <c r="E134" i="40"/>
  <c r="E64" i="40"/>
  <c r="E82" i="40"/>
  <c r="E123" i="40"/>
  <c r="F123" i="40" s="1"/>
  <c r="G123" i="40" s="1"/>
  <c r="D137" i="40" s="1"/>
  <c r="D164" i="40"/>
  <c r="B38" i="39"/>
  <c r="F39" i="39"/>
  <c r="H39" i="39" s="1"/>
  <c r="H197" i="40"/>
  <c r="G194" i="40"/>
  <c r="I194" i="40" s="1"/>
  <c r="J194" i="40" s="1"/>
  <c r="G193" i="40"/>
  <c r="I193" i="40" s="1"/>
  <c r="I197" i="40" s="1"/>
  <c r="G60" i="34"/>
  <c r="C52" i="34" s="1"/>
  <c r="H60" i="34"/>
  <c r="C54" i="34" s="1"/>
  <c r="L76" i="34" s="1"/>
  <c r="C35" i="26"/>
  <c r="D43" i="26" s="1"/>
  <c r="D32" i="26"/>
  <c r="D35" i="26" s="1"/>
  <c r="C72" i="28"/>
  <c r="F72" i="28"/>
  <c r="F73" i="28" s="1"/>
  <c r="F75" i="28" s="1"/>
  <c r="D72" i="28"/>
  <c r="E72" i="28"/>
  <c r="I24" i="21"/>
  <c r="N9" i="21" s="1" a="1"/>
  <c r="N9" i="21" s="1"/>
  <c r="O9" i="21" s="1"/>
  <c r="C34" i="21" s="1"/>
  <c r="F56" i="30"/>
  <c r="F58" i="30" s="1"/>
  <c r="D79" i="29"/>
  <c r="E81" i="29" s="1" a="1"/>
  <c r="E81" i="29" s="1"/>
  <c r="C89" i="29" s="1"/>
  <c r="H89" i="27"/>
  <c r="I89" i="27" s="1"/>
  <c r="I92" i="27" s="1"/>
  <c r="I98" i="27" s="1"/>
  <c r="F25" i="28"/>
  <c r="E25" i="28"/>
  <c r="E27" i="28" s="1"/>
  <c r="G70" i="28"/>
  <c r="C52" i="22"/>
  <c r="D52" i="22"/>
  <c r="D56" i="22" s="1"/>
  <c r="D57" i="22" s="1"/>
  <c r="C60" i="24"/>
  <c r="B58" i="24"/>
  <c r="H74" i="22"/>
  <c r="C69" i="22"/>
  <c r="G11" i="12"/>
  <c r="X54" i="17"/>
  <c r="Y54" i="17" s="1"/>
  <c r="K16" i="9"/>
  <c r="G9" i="12"/>
  <c r="G12" i="12"/>
  <c r="K12" i="9"/>
  <c r="K100" i="19"/>
  <c r="M106" i="19" s="1"/>
  <c r="K101" i="19"/>
  <c r="K102" i="19"/>
  <c r="K103" i="19"/>
  <c r="K99" i="19"/>
  <c r="L106" i="19" s="1"/>
  <c r="L100" i="19"/>
  <c r="M105" i="19" s="1"/>
  <c r="L101" i="19"/>
  <c r="L102" i="19"/>
  <c r="L103" i="19"/>
  <c r="L99" i="19"/>
  <c r="L105" i="19" s="1"/>
  <c r="M46" i="14"/>
  <c r="N46" i="14" s="1"/>
  <c r="M47" i="14"/>
  <c r="N47" i="14" s="1"/>
  <c r="M48" i="14"/>
  <c r="N48" i="14" s="1"/>
  <c r="M49" i="14"/>
  <c r="N49" i="14" s="1"/>
  <c r="M50" i="14"/>
  <c r="N50" i="14" s="1"/>
  <c r="M51" i="14"/>
  <c r="N51" i="14" s="1"/>
  <c r="M52" i="14"/>
  <c r="N52" i="14" s="1"/>
  <c r="M53" i="14"/>
  <c r="N53" i="14" s="1"/>
  <c r="M54" i="14"/>
  <c r="N54" i="14" s="1"/>
  <c r="M55" i="14"/>
  <c r="N55" i="14" s="1"/>
  <c r="C70" i="14"/>
  <c r="C68" i="14"/>
  <c r="G14" i="12"/>
  <c r="K9" i="9"/>
  <c r="X50" i="17"/>
  <c r="Y50" i="17" s="1"/>
  <c r="C69" i="14"/>
  <c r="K10" i="9"/>
  <c r="D43" i="12"/>
  <c r="I34" i="18"/>
  <c r="X52" i="17"/>
  <c r="Y52" i="17" s="1"/>
  <c r="I19" i="9"/>
  <c r="C59" i="16"/>
  <c r="I53" i="16" s="1"/>
  <c r="X51" i="17"/>
  <c r="Y51" i="17" s="1"/>
  <c r="J6" i="15"/>
  <c r="K6" i="15"/>
  <c r="C67" i="14"/>
  <c r="C71" i="14" s="1"/>
  <c r="E71" i="14" s="1"/>
  <c r="X56" i="17"/>
  <c r="Y56" i="17" s="1"/>
  <c r="X55" i="17"/>
  <c r="Y55" i="17" s="1"/>
  <c r="X47" i="17"/>
  <c r="Y47" i="17" s="1"/>
  <c r="K14" i="9"/>
  <c r="X48" i="17"/>
  <c r="Y48" i="17" s="1"/>
  <c r="J9" i="15"/>
  <c r="K9" i="15"/>
  <c r="K18" i="9"/>
  <c r="X53" i="17"/>
  <c r="Y53" i="17" s="1"/>
  <c r="D40" i="21"/>
  <c r="D41" i="21"/>
  <c r="E68" i="18"/>
  <c r="D101" i="13"/>
  <c r="B89" i="13"/>
  <c r="X49" i="17"/>
  <c r="Y49" i="17" s="1"/>
  <c r="G57" i="18"/>
  <c r="H57" i="18" s="1"/>
  <c r="C69" i="18"/>
  <c r="E69" i="18" s="1"/>
  <c r="K11" i="9"/>
  <c r="K13" i="9"/>
  <c r="G54" i="18"/>
  <c r="H54" i="18" s="1"/>
  <c r="D100" i="19"/>
  <c r="F106" i="19" s="1"/>
  <c r="D101" i="19"/>
  <c r="D102" i="19"/>
  <c r="D103" i="19"/>
  <c r="E100" i="19"/>
  <c r="F105" i="19" s="1"/>
  <c r="E101" i="19"/>
  <c r="E102" i="19"/>
  <c r="E103" i="19"/>
  <c r="D99" i="19"/>
  <c r="E106" i="19" s="1"/>
  <c r="E99" i="19"/>
  <c r="E105" i="19" s="1"/>
  <c r="G8" i="12"/>
  <c r="J7" i="15"/>
  <c r="K7" i="15"/>
  <c r="G13" i="12"/>
  <c r="D30" i="94" l="1"/>
  <c r="E30" i="94"/>
  <c r="F30" i="94"/>
  <c r="H47" i="90"/>
  <c r="D31" i="94"/>
  <c r="E45" i="96"/>
  <c r="E46" i="96" s="1"/>
  <c r="D25" i="96"/>
  <c r="D26" i="96" s="1"/>
  <c r="E25" i="96"/>
  <c r="E26" i="96" s="1"/>
  <c r="C25" i="96"/>
  <c r="C26" i="96" s="1"/>
  <c r="G47" i="90"/>
  <c r="I45" i="94"/>
  <c r="C53" i="97"/>
  <c r="C54" i="97" s="1"/>
  <c r="C55" i="97" s="1"/>
  <c r="C62" i="97" s="1"/>
  <c r="L45" i="90"/>
  <c r="N45" i="90" s="1"/>
  <c r="K45" i="90"/>
  <c r="M45" i="90" s="1"/>
  <c r="N61" i="93"/>
  <c r="P61" i="93" s="1"/>
  <c r="F58" i="93" s="1"/>
  <c r="F59" i="93" s="1"/>
  <c r="M61" i="93"/>
  <c r="O61" i="93" s="1"/>
  <c r="E58" i="93" s="1"/>
  <c r="E59" i="93" s="1"/>
  <c r="D70" i="93" s="1"/>
  <c r="I44" i="90"/>
  <c r="I22" i="90"/>
  <c r="M20" i="94"/>
  <c r="E49" i="89"/>
  <c r="E50" i="89"/>
  <c r="E51" i="89" s="1"/>
  <c r="K46" i="90"/>
  <c r="M46" i="90" s="1"/>
  <c r="L46" i="90"/>
  <c r="N46" i="90" s="1"/>
  <c r="M18" i="94"/>
  <c r="F31" i="94" s="1"/>
  <c r="M39" i="94"/>
  <c r="D49" i="94" s="1"/>
  <c r="D53" i="94" s="1"/>
  <c r="I47" i="94"/>
  <c r="M40" i="94" s="1"/>
  <c r="D50" i="94" s="1"/>
  <c r="D54" i="94" s="1"/>
  <c r="H27" i="94"/>
  <c r="M19" i="94" s="1"/>
  <c r="E31" i="94" s="1"/>
  <c r="D68" i="93"/>
  <c r="D49" i="95"/>
  <c r="C41" i="95"/>
  <c r="C42" i="95" s="1"/>
  <c r="D41" i="95"/>
  <c r="D42" i="95" s="1"/>
  <c r="E41" i="95"/>
  <c r="E42" i="95" s="1"/>
  <c r="H61" i="77"/>
  <c r="I61" i="77" s="1"/>
  <c r="J61" i="77" s="1"/>
  <c r="G62" i="77"/>
  <c r="B85" i="81" a="1"/>
  <c r="B85" i="81" s="1"/>
  <c r="D90" i="81" a="1"/>
  <c r="D90" i="81" s="1"/>
  <c r="D92" i="81" s="1"/>
  <c r="I69" i="70"/>
  <c r="I70" i="70" s="1"/>
  <c r="D34" i="71"/>
  <c r="B48" i="71"/>
  <c r="J30" i="71"/>
  <c r="B35" i="71" s="1"/>
  <c r="I46" i="78"/>
  <c r="L67" i="78"/>
  <c r="E49" i="78"/>
  <c r="D33" i="71"/>
  <c r="B47" i="71"/>
  <c r="D59" i="84"/>
  <c r="H51" i="84"/>
  <c r="D53" i="84" s="1"/>
  <c r="B59" i="84" s="1"/>
  <c r="F67" i="66"/>
  <c r="E52" i="78"/>
  <c r="F52" i="78" s="1"/>
  <c r="E67" i="78"/>
  <c r="F67" i="78" s="1"/>
  <c r="G67" i="78" s="1"/>
  <c r="H67" i="78"/>
  <c r="I67" i="78" s="1"/>
  <c r="J67" i="78" s="1"/>
  <c r="J75" i="78" s="1"/>
  <c r="J60" i="77"/>
  <c r="E73" i="78"/>
  <c r="F73" i="78" s="1"/>
  <c r="G73" i="78" s="1"/>
  <c r="L73" i="78" s="1"/>
  <c r="D82" i="78" s="1"/>
  <c r="H73" i="78"/>
  <c r="I73" i="78" s="1"/>
  <c r="J73" i="78" s="1"/>
  <c r="C65" i="68"/>
  <c r="C69" i="68" s="1"/>
  <c r="C44" i="68"/>
  <c r="J22" i="77"/>
  <c r="K27" i="77" s="1"/>
  <c r="B38" i="77" s="1"/>
  <c r="D62" i="43"/>
  <c r="D63" i="43"/>
  <c r="C53" i="57"/>
  <c r="D42" i="57"/>
  <c r="D43" i="57"/>
  <c r="C55" i="57"/>
  <c r="D55" i="57" s="1"/>
  <c r="G33" i="57" a="1"/>
  <c r="G33" i="57" s="1"/>
  <c r="H33" i="57" s="1"/>
  <c r="C33" i="57" s="1"/>
  <c r="C44" i="57" s="1"/>
  <c r="F34" i="57"/>
  <c r="G34" i="57" s="1"/>
  <c r="H34" i="57" s="1"/>
  <c r="C34" i="57" s="1"/>
  <c r="C45" i="57" s="1"/>
  <c r="G50" i="41"/>
  <c r="F54" i="41"/>
  <c r="G49" i="41"/>
  <c r="H50" i="41" s="1"/>
  <c r="I51" i="41" s="1"/>
  <c r="J52" i="41" s="1"/>
  <c r="H52" i="48"/>
  <c r="H50" i="48"/>
  <c r="H59" i="48" s="1"/>
  <c r="H58" i="48"/>
  <c r="H53" i="48"/>
  <c r="F64" i="40"/>
  <c r="F81" i="40" s="1"/>
  <c r="E135" i="40"/>
  <c r="E65" i="40"/>
  <c r="J193" i="40"/>
  <c r="J197" i="40" s="1"/>
  <c r="F38" i="39"/>
  <c r="H38" i="39" s="1"/>
  <c r="B37" i="39"/>
  <c r="E81" i="40"/>
  <c r="E122" i="40"/>
  <c r="F122" i="40" s="1"/>
  <c r="G122" i="40" s="1"/>
  <c r="D136" i="40" s="1"/>
  <c r="L83" i="34"/>
  <c r="M82" i="34" s="1"/>
  <c r="M83" i="34"/>
  <c r="M84" i="34"/>
  <c r="N83" i="34" s="1"/>
  <c r="K76" i="34"/>
  <c r="C56" i="34"/>
  <c r="M76" i="34" s="1"/>
  <c r="D89" i="29"/>
  <c r="D90" i="29" s="1"/>
  <c r="C90" i="29"/>
  <c r="E39" i="26"/>
  <c r="D44" i="26"/>
  <c r="E44" i="26" s="1"/>
  <c r="E48" i="26"/>
  <c r="E50" i="26"/>
  <c r="E43" i="26"/>
  <c r="G72" i="28"/>
  <c r="C80" i="28"/>
  <c r="G77" i="28"/>
  <c r="C81" i="28" s="1"/>
  <c r="C71" i="28"/>
  <c r="E71" i="28"/>
  <c r="E73" i="28" s="1"/>
  <c r="E75" i="28" s="1"/>
  <c r="D71" i="28"/>
  <c r="D73" i="28" s="1"/>
  <c r="D75" i="28" s="1"/>
  <c r="F27" i="28"/>
  <c r="D80" i="28" s="1"/>
  <c r="H92" i="27"/>
  <c r="B60" i="24"/>
  <c r="G60" i="24" s="1"/>
  <c r="C64" i="24" s="1"/>
  <c r="D91" i="24"/>
  <c r="D92" i="24" s="1"/>
  <c r="D93" i="24" s="1"/>
  <c r="C71" i="22"/>
  <c r="C75" i="22" s="1"/>
  <c r="C76" i="22" s="1"/>
  <c r="B69" i="22"/>
  <c r="B71" i="22" s="1"/>
  <c r="B75" i="22" s="1"/>
  <c r="B52" i="22"/>
  <c r="B56" i="22" s="1"/>
  <c r="C56" i="22"/>
  <c r="C57" i="22" s="1"/>
  <c r="B34" i="15"/>
  <c r="G18" i="12"/>
  <c r="B61" i="14"/>
  <c r="C67" i="18"/>
  <c r="G53" i="18"/>
  <c r="H53" i="18" s="1"/>
  <c r="G52" i="18"/>
  <c r="H52" i="18" s="1"/>
  <c r="B60" i="18" s="1"/>
  <c r="B52" i="17"/>
  <c r="D58" i="17" s="1"/>
  <c r="E102" i="13"/>
  <c r="F102" i="13"/>
  <c r="G102" i="13"/>
  <c r="I102" i="13"/>
  <c r="H103" i="13" s="1"/>
  <c r="H102" i="13"/>
  <c r="G103" i="13" s="1"/>
  <c r="B39" i="15"/>
  <c r="B52" i="15" s="1"/>
  <c r="D32" i="94" l="1"/>
  <c r="D33" i="94" s="1"/>
  <c r="D51" i="94"/>
  <c r="D55" i="94" s="1"/>
  <c r="F32" i="94"/>
  <c r="F33" i="94" s="1"/>
  <c r="E32" i="94"/>
  <c r="E33" i="94" s="1"/>
  <c r="F25" i="90"/>
  <c r="F27" i="90" s="1"/>
  <c r="F28" i="90" s="1"/>
  <c r="F33" i="90" s="1"/>
  <c r="E25" i="90"/>
  <c r="E27" i="90" s="1"/>
  <c r="E28" i="90" s="1"/>
  <c r="E33" i="90" s="1"/>
  <c r="G33" i="90" s="1"/>
  <c r="H33" i="90"/>
  <c r="I47" i="90"/>
  <c r="J44" i="90"/>
  <c r="C49" i="95"/>
  <c r="G75" i="78"/>
  <c r="B49" i="71"/>
  <c r="D35" i="71"/>
  <c r="C48" i="71"/>
  <c r="F48" i="71" s="1"/>
  <c r="G48" i="71" s="1"/>
  <c r="C60" i="84"/>
  <c r="C47" i="71"/>
  <c r="F47" i="71" s="1"/>
  <c r="G47" i="71"/>
  <c r="L75" i="78"/>
  <c r="D79" i="78"/>
  <c r="D36" i="71"/>
  <c r="G63" i="77"/>
  <c r="H62" i="77"/>
  <c r="I62" i="77" s="1"/>
  <c r="E53" i="78"/>
  <c r="F49" i="78"/>
  <c r="H51" i="41"/>
  <c r="I52" i="41" s="1"/>
  <c r="C57" i="57"/>
  <c r="D57" i="57" s="1"/>
  <c r="E57" i="57" s="1"/>
  <c r="D45" i="57"/>
  <c r="E45" i="57" s="1"/>
  <c r="D44" i="57"/>
  <c r="E44" i="57" s="1"/>
  <c r="C56" i="57"/>
  <c r="D56" i="57" s="1"/>
  <c r="E56" i="57" s="1"/>
  <c r="E43" i="57"/>
  <c r="D53" i="57"/>
  <c r="D54" i="57"/>
  <c r="E54" i="57" s="1"/>
  <c r="E80" i="40"/>
  <c r="E121" i="40"/>
  <c r="F121" i="40" s="1"/>
  <c r="G121" i="40" s="1"/>
  <c r="D135" i="40" s="1"/>
  <c r="F135" i="40" s="1"/>
  <c r="F37" i="39"/>
  <c r="H37" i="39" s="1"/>
  <c r="B36" i="39"/>
  <c r="E66" i="40"/>
  <c r="F65" i="40"/>
  <c r="E136" i="40"/>
  <c r="F136" i="40" s="1"/>
  <c r="G81" i="40"/>
  <c r="D99" i="40" s="1"/>
  <c r="K81" i="34"/>
  <c r="K82" i="34"/>
  <c r="L81" i="34" s="1"/>
  <c r="K83" i="34"/>
  <c r="M81" i="34" s="1"/>
  <c r="K84" i="34"/>
  <c r="N81" i="34" s="1"/>
  <c r="D85" i="28"/>
  <c r="C85" i="28"/>
  <c r="C84" i="28"/>
  <c r="C86" i="28" s="1"/>
  <c r="C88" i="28" s="1"/>
  <c r="G71" i="28"/>
  <c r="G73" i="28" s="1"/>
  <c r="C73" i="28"/>
  <c r="C75" i="28" s="1"/>
  <c r="G75" i="28" s="1"/>
  <c r="D81" i="28" s="1"/>
  <c r="D45" i="26"/>
  <c r="E45" i="26" s="1"/>
  <c r="E46" i="26" s="1"/>
  <c r="E52" i="26" s="1"/>
  <c r="E53" i="26" s="1"/>
  <c r="E40" i="26"/>
  <c r="C93" i="29"/>
  <c r="C91" i="29"/>
  <c r="D91" i="29" s="1"/>
  <c r="D93" i="29" s="1"/>
  <c r="B57" i="22"/>
  <c r="H57" i="22" s="1"/>
  <c r="H56" i="22"/>
  <c r="H75" i="22"/>
  <c r="B76" i="22"/>
  <c r="H76" i="22" s="1"/>
  <c r="E67" i="18"/>
  <c r="E70" i="18" s="1"/>
  <c r="C70" i="18"/>
  <c r="F103" i="13"/>
  <c r="D44" i="12"/>
  <c r="L16" i="12"/>
  <c r="L15" i="12"/>
  <c r="L10" i="12"/>
  <c r="L17" i="12"/>
  <c r="L13" i="12"/>
  <c r="L11" i="12"/>
  <c r="L12" i="12"/>
  <c r="L8" i="12"/>
  <c r="L9" i="12"/>
  <c r="L14" i="12"/>
  <c r="E103" i="13"/>
  <c r="D103" i="13"/>
  <c r="C103" i="13"/>
  <c r="K44" i="90" l="1"/>
  <c r="L44" i="90"/>
  <c r="J62" i="77"/>
  <c r="G64" i="77"/>
  <c r="H64" i="77" s="1"/>
  <c r="I64" i="77" s="1"/>
  <c r="J64" i="77" s="1"/>
  <c r="H63" i="77"/>
  <c r="I63" i="77" s="1"/>
  <c r="J63" i="77" s="1"/>
  <c r="C49" i="71"/>
  <c r="F49" i="71" s="1"/>
  <c r="G50" i="71" s="1"/>
  <c r="G49" i="71"/>
  <c r="E55" i="57"/>
  <c r="F56" i="41"/>
  <c r="F36" i="39"/>
  <c r="H36" i="39" s="1"/>
  <c r="B35" i="39"/>
  <c r="E79" i="40"/>
  <c r="E120" i="40"/>
  <c r="F120" i="40" s="1"/>
  <c r="G120" i="40" s="1"/>
  <c r="D134" i="40" s="1"/>
  <c r="F134" i="40" s="1"/>
  <c r="G80" i="40"/>
  <c r="D98" i="40" s="1"/>
  <c r="F82" i="40"/>
  <c r="G82" i="40" s="1"/>
  <c r="D100" i="40" s="1"/>
  <c r="E137" i="40"/>
  <c r="F137" i="40" s="1"/>
  <c r="F66" i="40"/>
  <c r="F83" i="40" s="1"/>
  <c r="G83" i="40" s="1"/>
  <c r="D101" i="40" s="1"/>
  <c r="E67" i="40"/>
  <c r="B75" i="34"/>
  <c r="B100" i="34" s="1"/>
  <c r="D84" i="28"/>
  <c r="D86" i="28" s="1"/>
  <c r="D88" i="28" s="1"/>
  <c r="G104" i="13"/>
  <c r="H104" i="13"/>
  <c r="D104" i="13"/>
  <c r="E104" i="13"/>
  <c r="F104" i="13"/>
  <c r="I104" i="13"/>
  <c r="H105" i="13" s="1"/>
  <c r="F72" i="18"/>
  <c r="L47" i="90" l="1"/>
  <c r="N44" i="90"/>
  <c r="N47" i="90" s="1"/>
  <c r="F50" i="90" s="1"/>
  <c r="K47" i="90"/>
  <c r="M44" i="90"/>
  <c r="M47" i="90" s="1"/>
  <c r="E50" i="90" s="1"/>
  <c r="J65" i="77"/>
  <c r="I65" i="77"/>
  <c r="E68" i="40"/>
  <c r="F67" i="40"/>
  <c r="F84" i="40" s="1"/>
  <c r="G84" i="40" s="1"/>
  <c r="D102" i="40" s="1"/>
  <c r="E138" i="40"/>
  <c r="F138" i="40" s="1"/>
  <c r="D107" i="40"/>
  <c r="E119" i="40"/>
  <c r="F119" i="40" s="1"/>
  <c r="G119" i="40" s="1"/>
  <c r="G79" i="40"/>
  <c r="D97" i="40" s="1"/>
  <c r="D105" i="40" s="1"/>
  <c r="B34" i="39"/>
  <c r="F35" i="39"/>
  <c r="H35" i="39" s="1"/>
  <c r="D105" i="13"/>
  <c r="C105" i="13"/>
  <c r="E105" i="13"/>
  <c r="G105" i="13"/>
  <c r="F105" i="13"/>
  <c r="F34" i="39" l="1"/>
  <c r="H34" i="39" s="1"/>
  <c r="B33" i="39"/>
  <c r="F33" i="39" s="1"/>
  <c r="H33" i="39" s="1"/>
  <c r="H42" i="39" s="1"/>
  <c r="H44" i="39" s="1"/>
  <c r="G126" i="40"/>
  <c r="D133" i="40"/>
  <c r="F133" i="40" s="1"/>
  <c r="F140" i="40" s="1"/>
  <c r="F68" i="40"/>
  <c r="E139" i="40"/>
  <c r="F139" i="40" s="1"/>
  <c r="D106" i="13"/>
  <c r="E106" i="13"/>
  <c r="H106" i="13"/>
  <c r="I106" i="13"/>
  <c r="H107" i="13" s="1"/>
  <c r="F106" i="13"/>
  <c r="G106" i="13"/>
  <c r="F107" i="13" s="1"/>
  <c r="F85" i="40" l="1"/>
  <c r="G85" i="40" s="1"/>
  <c r="D103" i="40" s="1"/>
  <c r="F69" i="40"/>
  <c r="C56" i="39"/>
  <c r="C55" i="39"/>
  <c r="C51" i="39"/>
  <c r="C58" i="39"/>
  <c r="C57" i="39"/>
  <c r="C53" i="39"/>
  <c r="C52" i="39"/>
  <c r="C59" i="39"/>
  <c r="C54" i="39"/>
  <c r="G107" i="13"/>
  <c r="E107" i="13"/>
  <c r="D107" i="13"/>
  <c r="C107" i="13"/>
  <c r="E54" i="39" l="1"/>
  <c r="F54" i="39" s="1"/>
  <c r="J54" i="39"/>
  <c r="D71" i="39"/>
  <c r="E71" i="39" s="1"/>
  <c r="E59" i="39"/>
  <c r="F59" i="39" s="1"/>
  <c r="E52" i="39"/>
  <c r="F52" i="39" s="1"/>
  <c r="E53" i="39"/>
  <c r="F53" i="39" s="1"/>
  <c r="J53" i="39"/>
  <c r="D70" i="39"/>
  <c r="E70" i="39" s="1"/>
  <c r="E57" i="39"/>
  <c r="F57" i="39" s="1"/>
  <c r="D74" i="39"/>
  <c r="E74" i="39" s="1"/>
  <c r="E58" i="39"/>
  <c r="F58" i="39" s="1"/>
  <c r="J58" i="39"/>
  <c r="C60" i="39"/>
  <c r="E51" i="39"/>
  <c r="J51" i="39"/>
  <c r="D68" i="39"/>
  <c r="E55" i="39"/>
  <c r="F55" i="39" s="1"/>
  <c r="E56" i="39"/>
  <c r="F56" i="39" s="1"/>
  <c r="J56" i="39"/>
  <c r="E108" i="13"/>
  <c r="F108" i="13"/>
  <c r="H108" i="13"/>
  <c r="I108" i="13"/>
  <c r="H109" i="13" s="1"/>
  <c r="G108" i="13"/>
  <c r="D108" i="13"/>
  <c r="C109" i="13" s="1"/>
  <c r="D69" i="39" l="1"/>
  <c r="E69" i="39" s="1"/>
  <c r="D72" i="39"/>
  <c r="E72" i="39" s="1"/>
  <c r="E68" i="39"/>
  <c r="F51" i="39"/>
  <c r="F60" i="39" s="1"/>
  <c r="E60" i="39"/>
  <c r="J52" i="39"/>
  <c r="J60" i="39" s="1"/>
  <c r="J59" i="39"/>
  <c r="D75" i="39"/>
  <c r="E75" i="39" s="1"/>
  <c r="D76" i="39"/>
  <c r="E76" i="39" s="1"/>
  <c r="D73" i="39"/>
  <c r="E73" i="39" s="1"/>
  <c r="J55" i="39"/>
  <c r="J57" i="39"/>
  <c r="D110" i="13"/>
  <c r="F109" i="13"/>
  <c r="G109" i="13"/>
  <c r="E109" i="13"/>
  <c r="D109" i="13"/>
  <c r="E110" i="13" s="1"/>
  <c r="E77" i="39" l="1"/>
  <c r="D77" i="39"/>
  <c r="G110" i="13"/>
  <c r="H110" i="13"/>
  <c r="G111" i="13" s="1"/>
  <c r="I110" i="13"/>
  <c r="H111" i="13" s="1"/>
  <c r="F110" i="13"/>
  <c r="E111" i="13" s="1"/>
  <c r="F111" i="13" l="1"/>
  <c r="C111" i="13"/>
  <c r="D111" i="13"/>
  <c r="G112" i="13" l="1"/>
  <c r="H112" i="13"/>
  <c r="D112" i="13"/>
  <c r="C113" i="13" s="1"/>
  <c r="E112" i="13"/>
  <c r="F112" i="13"/>
  <c r="I112" i="13"/>
  <c r="H113" i="13" s="1"/>
  <c r="D114" i="13" l="1"/>
  <c r="D113" i="13"/>
  <c r="H114" i="13" s="1"/>
  <c r="G113" i="13"/>
  <c r="E113" i="13"/>
  <c r="F113" i="13"/>
  <c r="G114" i="13" l="1"/>
  <c r="F114" i="13"/>
  <c r="E114" i="13"/>
  <c r="D115" i="13" s="1"/>
  <c r="I114" i="13"/>
  <c r="H115" i="13" s="1"/>
  <c r="C115" i="13" l="1"/>
  <c r="E115" i="13"/>
  <c r="F115" i="13"/>
  <c r="G115" i="13"/>
  <c r="E116" i="13" l="1"/>
  <c r="F116" i="13"/>
  <c r="H116" i="13"/>
  <c r="I116" i="13"/>
  <c r="H117" i="13" s="1"/>
  <c r="G116" i="13"/>
  <c r="D116" i="13"/>
  <c r="F117" i="13" l="1"/>
  <c r="E117" i="13"/>
  <c r="C117" i="13"/>
  <c r="G117" i="13"/>
  <c r="D117" i="13"/>
  <c r="E118" i="13" l="1"/>
  <c r="F118" i="13"/>
  <c r="H118" i="13"/>
  <c r="G119" i="13" s="1"/>
  <c r="I118" i="13"/>
  <c r="H119" i="13" s="1"/>
  <c r="D118" i="13"/>
  <c r="C119" i="13" s="1"/>
  <c r="G118" i="13"/>
  <c r="D120" i="13" l="1"/>
  <c r="F119" i="13"/>
  <c r="E119" i="13"/>
  <c r="D119" i="13"/>
  <c r="G120" i="13" s="1"/>
  <c r="H120" i="13" l="1"/>
  <c r="F120" i="13"/>
  <c r="E120" i="13"/>
  <c r="C121" i="13" s="1"/>
  <c r="I120" i="13"/>
  <c r="H121" i="13" s="1"/>
  <c r="D122" i="13" l="1"/>
  <c r="D121" i="13"/>
  <c r="H122" i="13" s="1"/>
  <c r="E121" i="13"/>
  <c r="G121" i="13"/>
  <c r="F121" i="13"/>
  <c r="G123" i="13" l="1"/>
  <c r="G122" i="13"/>
  <c r="F122" i="13"/>
  <c r="E122" i="13"/>
  <c r="I122" i="13"/>
  <c r="H123" i="13" s="1"/>
  <c r="C123" i="13"/>
  <c r="D124" i="13" l="1"/>
  <c r="E123" i="13"/>
  <c r="D123" i="13"/>
  <c r="E124" i="13" s="1"/>
  <c r="F123" i="13"/>
  <c r="D125" i="13" l="1"/>
  <c r="H124" i="13"/>
  <c r="F124" i="13"/>
  <c r="G124" i="13"/>
  <c r="I124" i="13"/>
  <c r="H125" i="13" s="1"/>
  <c r="E125" i="13" l="1"/>
  <c r="F125" i="13"/>
  <c r="G125" i="13"/>
  <c r="C125" i="13"/>
  <c r="E126" i="13" l="1"/>
  <c r="F126" i="13"/>
  <c r="I126" i="13"/>
  <c r="H127" i="13" s="1"/>
  <c r="G126" i="13"/>
  <c r="H126" i="13"/>
  <c r="G127" i="13" s="1"/>
  <c r="D126" i="13"/>
  <c r="C127" i="13" l="1"/>
  <c r="F127" i="13"/>
  <c r="E127" i="13"/>
  <c r="D127" i="13"/>
  <c r="G128" i="13" l="1"/>
  <c r="I128" i="13"/>
  <c r="D128" i="13"/>
  <c r="E128" i="13"/>
  <c r="F128" i="13"/>
  <c r="H128"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<sst xmlns="http://schemas.openxmlformats.org/spreadsheetml/2006/main" count="5212" uniqueCount="2840">
  <si>
    <t>G</t>
  </si>
  <si>
    <t>Response for part (e) is to be provided in the Word document</t>
  </si>
  <si>
    <t>This graph for part (d) will be created based on values calculated in columns H and K</t>
  </si>
  <si>
    <r>
      <t>(</t>
    </r>
    <r>
      <rPr>
        <i/>
        <sz val="12"/>
        <color theme="8" tint="-0.499984740745262"/>
        <rFont val="Times New Roman"/>
        <family val="1"/>
      </rPr>
      <t>1 point</t>
    </r>
    <r>
      <rPr>
        <sz val="12"/>
        <color theme="8" tint="-0.499984740745262"/>
        <rFont val="Times New Roman"/>
        <family val="1"/>
      </rPr>
      <t xml:space="preserve">)  Create a scatter plot in which the </t>
    </r>
    <r>
      <rPr>
        <i/>
        <sz val="12"/>
        <color theme="8" tint="-0.499984740745262"/>
        <rFont val="Times New Roman"/>
        <family val="1"/>
      </rPr>
      <t>x</t>
    </r>
    <r>
      <rPr>
        <sz val="12"/>
        <color theme="8" tint="-0.499984740745262"/>
        <rFont val="Times New Roman"/>
        <family val="1"/>
      </rPr>
      <t xml:space="preserve"> values are the expected incremental losses and the </t>
    </r>
    <r>
      <rPr>
        <i/>
        <sz val="12"/>
        <color theme="8" tint="-0.499984740745262"/>
        <rFont val="Times New Roman"/>
        <family val="1"/>
      </rPr>
      <t>y</t>
    </r>
    <r>
      <rPr>
        <sz val="12"/>
        <color theme="8" tint="-0.499984740745262"/>
        <rFont val="Times New Roman"/>
        <family val="1"/>
      </rPr>
      <t xml:space="preserve"> values are the normalized residuals.</t>
    </r>
  </si>
  <si>
    <t>(d)</t>
  </si>
  <si>
    <t>Answer in table above</t>
  </si>
  <si>
    <r>
      <t>(</t>
    </r>
    <r>
      <rPr>
        <i/>
        <sz val="12"/>
        <color theme="8" tint="-0.499984740745262"/>
        <rFont val="Times New Roman"/>
        <family val="1"/>
      </rPr>
      <t>1 point</t>
    </r>
    <r>
      <rPr>
        <sz val="12"/>
        <color theme="8" tint="-0.499984740745262"/>
        <rFont val="Times New Roman"/>
        <family val="1"/>
      </rPr>
      <t>)  Estimate the scale factor, σ</t>
    </r>
    <r>
      <rPr>
        <vertAlign val="superscript"/>
        <sz val="12"/>
        <color theme="8" tint="-0.499984740745262"/>
        <rFont val="Times New Roman"/>
        <family val="1"/>
      </rPr>
      <t>2</t>
    </r>
    <r>
      <rPr>
        <sz val="12"/>
        <color theme="8" tint="-0.499984740745262"/>
        <rFont val="Times New Roman"/>
        <family val="1"/>
      </rPr>
      <t xml:space="preserve"> (</t>
    </r>
    <r>
      <rPr>
        <i/>
        <sz val="12"/>
        <color theme="8" tint="-0.499984740745262"/>
        <rFont val="Times New Roman"/>
        <family val="1"/>
      </rPr>
      <t>sigma-sqaured</t>
    </r>
    <r>
      <rPr>
        <sz val="12"/>
        <color theme="8" tint="-0.499984740745262"/>
        <rFont val="Times New Roman"/>
        <family val="1"/>
      </rPr>
      <t>).</t>
    </r>
  </si>
  <si>
    <t>(c)</t>
  </si>
  <si>
    <r>
      <t>(</t>
    </r>
    <r>
      <rPr>
        <i/>
        <sz val="12"/>
        <color theme="8" tint="-0.499984740745262"/>
        <rFont val="Times New Roman"/>
        <family val="1"/>
      </rPr>
      <t>2 points</t>
    </r>
    <r>
      <rPr>
        <sz val="12"/>
        <color theme="8" tint="-0.499984740745262"/>
        <rFont val="Times New Roman"/>
        <family val="1"/>
      </rPr>
      <t xml:space="preserve">)  Calculate the value of </t>
    </r>
    <r>
      <rPr>
        <i/>
        <sz val="12"/>
        <color theme="8" tint="-0.499984740745262"/>
        <rFont val="Times New Roman"/>
        <family val="1"/>
      </rPr>
      <t xml:space="preserve">ℓ </t>
    </r>
    <r>
      <rPr>
        <sz val="12"/>
        <color theme="8" tint="-0.499984740745262"/>
        <rFont val="Times New Roman"/>
        <family val="1"/>
      </rPr>
      <t>at its maximum.</t>
    </r>
  </si>
  <si>
    <t>(b)</t>
  </si>
  <si>
    <t>ELR</t>
  </si>
  <si>
    <t>w</t>
  </si>
  <si>
    <t>θ</t>
  </si>
  <si>
    <r>
      <t xml:space="preserve">The maximum likelihood estimates of </t>
    </r>
    <r>
      <rPr>
        <i/>
        <sz val="12"/>
        <color theme="8" tint="-0.499984740745262"/>
        <rFont val="Times New Roman"/>
        <family val="1"/>
      </rPr>
      <t>θ</t>
    </r>
    <r>
      <rPr>
        <sz val="12"/>
        <color theme="8" tint="-0.499984740745262"/>
        <rFont val="Times New Roman"/>
        <family val="1"/>
      </rPr>
      <t xml:space="preserve">, of </t>
    </r>
    <r>
      <rPr>
        <i/>
        <sz val="12"/>
        <color theme="8" tint="-0.499984740745262"/>
        <rFont val="Times New Roman"/>
        <family val="1"/>
      </rPr>
      <t>w</t>
    </r>
    <r>
      <rPr>
        <sz val="12"/>
        <color theme="8" tint="-0.499984740745262"/>
        <rFont val="Times New Roman"/>
        <family val="1"/>
      </rPr>
      <t xml:space="preserve"> and of </t>
    </r>
    <r>
      <rPr>
        <i/>
        <sz val="12"/>
        <color theme="8" tint="-0.499984740745262"/>
        <rFont val="Times New Roman"/>
        <family val="1"/>
      </rPr>
      <t>ELR</t>
    </r>
    <r>
      <rPr>
        <sz val="12"/>
        <color theme="8" tint="-0.499984740745262"/>
        <rFont val="Times New Roman"/>
        <family val="1"/>
      </rPr>
      <t xml:space="preserve"> are as follows:</t>
    </r>
  </si>
  <si>
    <r>
      <t xml:space="preserve">Maximum likelihood estimates can be obtained by maximizing the function </t>
    </r>
    <r>
      <rPr>
        <i/>
        <sz val="12"/>
        <color theme="8" tint="-0.499984740745262"/>
        <rFont val="Times New Roman"/>
        <family val="1"/>
      </rPr>
      <t>ℓ</t>
    </r>
    <r>
      <rPr>
        <sz val="12"/>
        <color theme="8" tint="-0.499984740745262"/>
        <rFont val="Times New Roman"/>
        <family val="1"/>
      </rPr>
      <t xml:space="preserve"> = </t>
    </r>
    <r>
      <rPr>
        <sz val="12"/>
        <color theme="8" tint="-0.499984740745262"/>
        <rFont val="Calibri"/>
        <family val="2"/>
      </rPr>
      <t>Σ</t>
    </r>
    <r>
      <rPr>
        <vertAlign val="subscript"/>
        <sz val="12"/>
        <color theme="8" tint="-0.499984740745262"/>
        <rFont val="Times New Roman"/>
        <family val="1"/>
      </rPr>
      <t>i</t>
    </r>
    <r>
      <rPr>
        <sz val="12"/>
        <color theme="8" tint="-0.499984740745262"/>
        <rFont val="Times New Roman"/>
        <family val="1"/>
      </rPr>
      <t>[</t>
    </r>
    <r>
      <rPr>
        <i/>
        <sz val="12"/>
        <color theme="8" tint="-0.499984740745262"/>
        <rFont val="Times New Roman"/>
        <family val="1"/>
      </rPr>
      <t>c</t>
    </r>
    <r>
      <rPr>
        <vertAlign val="subscript"/>
        <sz val="12"/>
        <color theme="8" tint="-0.499984740745262"/>
        <rFont val="Times New Roman"/>
        <family val="1"/>
      </rPr>
      <t>i</t>
    </r>
    <r>
      <rPr>
        <sz val="12"/>
        <color theme="8" tint="-0.499984740745262"/>
        <rFont val="Times New Roman"/>
        <family val="1"/>
      </rPr>
      <t>ln(</t>
    </r>
    <r>
      <rPr>
        <i/>
        <sz val="12"/>
        <color theme="8" tint="-0.499984740745262"/>
        <rFont val="Calibri"/>
        <family val="2"/>
      </rPr>
      <t>μ</t>
    </r>
    <r>
      <rPr>
        <vertAlign val="subscript"/>
        <sz val="12"/>
        <color theme="8" tint="-0.499984740745262"/>
        <rFont val="Times New Roman"/>
        <family val="1"/>
      </rPr>
      <t>i</t>
    </r>
    <r>
      <rPr>
        <sz val="12"/>
        <color theme="8" tint="-0.499984740745262"/>
        <rFont val="Times New Roman"/>
        <family val="1"/>
      </rPr>
      <t>)-</t>
    </r>
    <r>
      <rPr>
        <i/>
        <sz val="12"/>
        <color theme="8" tint="-0.499984740745262"/>
        <rFont val="Times New Roman"/>
        <family val="1"/>
      </rPr>
      <t>μ</t>
    </r>
    <r>
      <rPr>
        <vertAlign val="subscript"/>
        <sz val="12"/>
        <color theme="8" tint="-0.499984740745262"/>
        <rFont val="Times New Roman"/>
        <family val="1"/>
      </rPr>
      <t>i</t>
    </r>
    <r>
      <rPr>
        <sz val="12"/>
        <color theme="8" tint="-0.499984740745262"/>
        <rFont val="Times New Roman"/>
        <family val="1"/>
      </rPr>
      <t>].</t>
    </r>
  </si>
  <si>
    <t>Response for part (a) is to be provided in the Word document</t>
  </si>
  <si>
    <t>In Clark’s model, the distribution of ultimate reserves is approximated by a discrete distribution.</t>
  </si>
  <si>
    <r>
      <t xml:space="preserve">distribution with cumulative distribution function </t>
    </r>
    <r>
      <rPr>
        <i/>
        <sz val="12"/>
        <color theme="8" tint="-0.499984740745262"/>
        <rFont val="Times New Roman"/>
        <family val="1"/>
      </rPr>
      <t>G(x)</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w</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w</t>
    </r>
    <r>
      <rPr>
        <sz val="12"/>
        <color theme="8" tint="-0.499984740745262"/>
        <rFont val="Times New Roman"/>
        <family val="1"/>
      </rPr>
      <t xml:space="preserve"> + </t>
    </r>
    <r>
      <rPr>
        <i/>
        <sz val="12"/>
        <color theme="8" tint="-0.499984740745262"/>
        <rFont val="Times New Roman"/>
        <family val="1"/>
      </rPr>
      <t>θ</t>
    </r>
    <r>
      <rPr>
        <i/>
        <vertAlign val="superscript"/>
        <sz val="12"/>
        <color theme="8" tint="-0.499984740745262"/>
        <rFont val="Times New Roman"/>
        <family val="1"/>
      </rPr>
      <t>w</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 </t>
    </r>
  </si>
  <si>
    <t xml:space="preserve">You apply Clark’s stochastic reserving model using the Cape Cod method and a loglogistic  </t>
  </si>
  <si>
    <t>G at the end of the interval</t>
  </si>
  <si>
    <t>G at the beginning of the interval</t>
  </si>
  <si>
    <t>Normalized residual</t>
  </si>
  <si>
    <t>sigma-squared</t>
  </si>
  <si>
    <r>
      <t>Σ</t>
    </r>
    <r>
      <rPr>
        <i/>
        <vertAlign val="subscript"/>
        <sz val="12"/>
        <rFont val="Times New Roman"/>
        <family val="1"/>
      </rPr>
      <t>i</t>
    </r>
    <r>
      <rPr>
        <i/>
        <sz val="12"/>
        <rFont val="Times New Roman"/>
        <family val="1"/>
      </rPr>
      <t>[c</t>
    </r>
    <r>
      <rPr>
        <i/>
        <vertAlign val="subscript"/>
        <sz val="12"/>
        <rFont val="Times New Roman"/>
        <family val="1"/>
      </rPr>
      <t>i</t>
    </r>
    <r>
      <rPr>
        <i/>
        <sz val="12"/>
        <rFont val="Times New Roman"/>
        <family val="1"/>
      </rPr>
      <t>ln(μ</t>
    </r>
    <r>
      <rPr>
        <i/>
        <vertAlign val="subscript"/>
        <sz val="12"/>
        <rFont val="Times New Roman"/>
        <family val="1"/>
      </rPr>
      <t>i</t>
    </r>
    <r>
      <rPr>
        <i/>
        <sz val="12"/>
        <rFont val="Times New Roman"/>
        <family val="1"/>
      </rPr>
      <t>)-μ</t>
    </r>
    <r>
      <rPr>
        <i/>
        <vertAlign val="subscript"/>
        <sz val="12"/>
        <rFont val="Times New Roman"/>
        <family val="1"/>
      </rPr>
      <t>i</t>
    </r>
    <r>
      <rPr>
        <i/>
        <sz val="12"/>
        <rFont val="Times New Roman"/>
        <family val="1"/>
      </rPr>
      <t>]</t>
    </r>
  </si>
  <si>
    <t>Expected increment</t>
  </si>
  <si>
    <t>Accident Year Total</t>
  </si>
  <si>
    <t>Diagonal 
Age</t>
  </si>
  <si>
    <t>Increment</t>
  </si>
  <si>
    <t>To (months)</t>
  </si>
  <si>
    <t>From (months)</t>
  </si>
  <si>
    <t>Onlevel Premium</t>
  </si>
  <si>
    <t>Accident Year</t>
  </si>
  <si>
    <t>y</t>
  </si>
  <si>
    <r>
      <t>σ</t>
    </r>
    <r>
      <rPr>
        <i/>
        <vertAlign val="superscript"/>
        <sz val="12"/>
        <rFont val="Times New Roman"/>
        <family val="1"/>
      </rPr>
      <t>2</t>
    </r>
  </si>
  <si>
    <r>
      <t xml:space="preserve">ℓ </t>
    </r>
    <r>
      <rPr>
        <sz val="12"/>
        <rFont val="Times New Roman"/>
        <family val="1"/>
      </rPr>
      <t>=</t>
    </r>
    <r>
      <rPr>
        <i/>
        <sz val="12"/>
        <rFont val="Times New Roman"/>
        <family val="1"/>
      </rPr>
      <t xml:space="preserve"> el</t>
    </r>
  </si>
  <si>
    <t>x</t>
  </si>
  <si>
    <t>Table below also includes the onlevel premiums</t>
  </si>
  <si>
    <t>Additional work should be done in columns L and beyond.</t>
  </si>
  <si>
    <t>Be sure that it is possible to follow your formulas and that your answers are clearly indicated.</t>
  </si>
  <si>
    <t>Responses for parts (b)-(d) are to be provided by completing the tables below.</t>
  </si>
  <si>
    <t>Responses for parts (a) and (e) are to be provided in the Word document.</t>
  </si>
  <si>
    <r>
      <t>(</t>
    </r>
    <r>
      <rPr>
        <i/>
        <sz val="12"/>
        <color theme="8" tint="-0.499984740745262"/>
        <rFont val="Times New Roman"/>
        <family val="1"/>
      </rPr>
      <t>5 points</t>
    </r>
    <r>
      <rPr>
        <sz val="12"/>
        <color theme="8" tint="-0.499984740745262"/>
        <rFont val="Times New Roman"/>
        <family val="1"/>
      </rPr>
      <t>)  You are given the following data extracted from a triangle of cumulative paid losses:</t>
    </r>
  </si>
  <si>
    <t>Question 3</t>
  </si>
  <si>
    <r>
      <t>α</t>
    </r>
    <r>
      <rPr>
        <i/>
        <vertAlign val="subscript"/>
        <sz val="12"/>
        <color theme="1"/>
        <rFont val="Times New Roman"/>
        <family val="1"/>
      </rPr>
      <t>k</t>
    </r>
    <r>
      <rPr>
        <vertAlign val="superscript"/>
        <sz val="12"/>
        <color theme="1"/>
        <rFont val="Times New Roman"/>
        <family val="1"/>
      </rPr>
      <t>2</t>
    </r>
  </si>
  <si>
    <r>
      <t>f</t>
    </r>
    <r>
      <rPr>
        <i/>
        <vertAlign val="subscript"/>
        <sz val="12"/>
        <color theme="1"/>
        <rFont val="Times New Roman"/>
        <family val="1"/>
      </rPr>
      <t>k</t>
    </r>
  </si>
  <si>
    <t>Age-to-Age Factors</t>
  </si>
  <si>
    <t>Standard Error</t>
  </si>
  <si>
    <t>AY</t>
  </si>
  <si>
    <t>(e)</t>
  </si>
  <si>
    <t>Development Year</t>
  </si>
  <si>
    <t>ANSWER</t>
  </si>
  <si>
    <t>Response for part (f) is to be provided in the Word document</t>
  </si>
  <si>
    <t>Answer in table below</t>
  </si>
  <si>
    <r>
      <t>(</t>
    </r>
    <r>
      <rPr>
        <i/>
        <sz val="12"/>
        <color theme="8" tint="-0.499984740745262"/>
        <rFont val="Times New Roman"/>
        <family val="1"/>
      </rPr>
      <t>3 points</t>
    </r>
    <r>
      <rPr>
        <sz val="12"/>
        <color theme="8" tint="-0.499984740745262"/>
        <rFont val="Times New Roman"/>
        <family val="1"/>
      </rPr>
      <t>)  Calculate the remaining standard errors of the reserve estimators for the individual accident years.</t>
    </r>
  </si>
  <si>
    <t>value is provided.</t>
  </si>
  <si>
    <r>
      <t>(</t>
    </r>
    <r>
      <rPr>
        <i/>
        <sz val="12"/>
        <color theme="8" tint="-0.499984740745262"/>
        <rFont val="Times New Roman"/>
        <family val="1"/>
      </rPr>
      <t>1 point</t>
    </r>
    <r>
      <rPr>
        <sz val="12"/>
        <color theme="8" tint="-0.499984740745262"/>
        <rFont val="Times New Roman"/>
        <family val="1"/>
      </rPr>
      <t>)  Square the development triangle by completing the remaining shaded cells, where one calculated</t>
    </r>
  </si>
  <si>
    <r>
      <t>(</t>
    </r>
    <r>
      <rPr>
        <i/>
        <sz val="12"/>
        <color theme="8" tint="-0.499984740745262"/>
        <rFont val="Times New Roman"/>
        <family val="1"/>
      </rPr>
      <t>1.5 points</t>
    </r>
    <r>
      <rPr>
        <sz val="12"/>
        <color theme="8" tint="-0.499984740745262"/>
        <rFont val="Times New Roman"/>
        <family val="1"/>
      </rPr>
      <t xml:space="preserve">)  Calculate the remaining values of  </t>
    </r>
    <r>
      <rPr>
        <i/>
        <sz val="12"/>
        <color theme="8" tint="-0.499984740745262"/>
        <rFont val="Times New Roman"/>
        <family val="1"/>
      </rPr>
      <t>f</t>
    </r>
    <r>
      <rPr>
        <i/>
        <vertAlign val="subscript"/>
        <sz val="12"/>
        <color theme="8" tint="-0.499984740745262"/>
        <rFont val="Times New Roman"/>
        <family val="1"/>
      </rPr>
      <t>k</t>
    </r>
    <r>
      <rPr>
        <i/>
        <sz val="12"/>
        <color theme="8" tint="-0.499984740745262"/>
        <rFont val="Times New Roman"/>
        <family val="1"/>
      </rPr>
      <t xml:space="preserve"> </t>
    </r>
    <r>
      <rPr>
        <sz val="12"/>
        <color theme="8" tint="-0.499984740745262"/>
        <rFont val="Times New Roman"/>
        <family val="1"/>
      </rPr>
      <t xml:space="preserve">and </t>
    </r>
    <r>
      <rPr>
        <i/>
        <sz val="12"/>
        <color theme="8" tint="-0.499984740745262"/>
        <rFont val="Times New Roman"/>
        <family val="1"/>
      </rPr>
      <t>α</t>
    </r>
    <r>
      <rPr>
        <i/>
        <vertAlign val="subscript"/>
        <sz val="12"/>
        <color theme="8" tint="-0.499984740745262"/>
        <rFont val="Times New Roman"/>
        <family val="1"/>
      </rPr>
      <t>k</t>
    </r>
    <r>
      <rPr>
        <vertAlign val="superscript"/>
        <sz val="12"/>
        <color theme="8" tint="-0.499984740745262"/>
        <rFont val="Times New Roman"/>
        <family val="1"/>
      </rPr>
      <t>2</t>
    </r>
    <r>
      <rPr>
        <sz val="12"/>
        <color theme="8" tint="-0.499984740745262"/>
        <rFont val="Times New Roman"/>
        <family val="1"/>
      </rPr>
      <t>.</t>
    </r>
  </si>
  <si>
    <r>
      <t>(</t>
    </r>
    <r>
      <rPr>
        <i/>
        <sz val="12"/>
        <color theme="8" tint="-0.499984740745262"/>
        <rFont val="Times New Roman"/>
        <family val="1"/>
      </rPr>
      <t>1 point</t>
    </r>
    <r>
      <rPr>
        <sz val="12"/>
        <color theme="8" tint="-0.499984740745262"/>
        <rFont val="Times New Roman"/>
        <family val="1"/>
      </rPr>
      <t>)  Complete the triangle of age-to-age factors.</t>
    </r>
  </si>
  <si>
    <t>Refer to answer area below for the triangle of paid claims and development factors.</t>
  </si>
  <si>
    <t>Mack’s method of estimating reserve variability is to be applied to this triangle.</t>
  </si>
  <si>
    <r>
      <t>(</t>
    </r>
    <r>
      <rPr>
        <i/>
        <sz val="12"/>
        <color theme="8" tint="-0.499984740745262"/>
        <rFont val="Times New Roman"/>
        <family val="1"/>
      </rPr>
      <t>9 points</t>
    </r>
    <r>
      <rPr>
        <sz val="12"/>
        <color theme="8" tint="-0.499984740745262"/>
        <rFont val="Times New Roman"/>
        <family val="1"/>
      </rPr>
      <t>)  You are interested in determining the variability of unpaid claim estimates.  The triangle of paid claims data you are working with, by accident year (AY) and development year, is presented below.  It is assumed that all claims are fully developed after seven years.</t>
    </r>
  </si>
  <si>
    <t>Question 4</t>
  </si>
  <si>
    <t>CV</t>
  </si>
  <si>
    <t>Std Dev ELR</t>
  </si>
  <si>
    <t>Answer in the space below</t>
  </si>
  <si>
    <r>
      <t>(</t>
    </r>
    <r>
      <rPr>
        <i/>
        <sz val="12"/>
        <color theme="8" tint="-0.499984740745262"/>
        <rFont val="Times New Roman"/>
        <family val="1"/>
      </rPr>
      <t>0.5 points</t>
    </r>
    <r>
      <rPr>
        <sz val="12"/>
        <color theme="8" tint="-0.499984740745262"/>
        <rFont val="Times New Roman"/>
        <family val="1"/>
      </rPr>
      <t>)  Estimate the coefficient of variation due to parameter variance for the 2022 loss.</t>
    </r>
  </si>
  <si>
    <r>
      <t xml:space="preserve">The covariance matrix of the estimates of ELR and  </t>
    </r>
    <r>
      <rPr>
        <i/>
        <sz val="12"/>
        <color theme="8" tint="-0.499984740745262"/>
        <rFont val="Times New Roman"/>
        <family val="1"/>
      </rPr>
      <t>θ</t>
    </r>
    <r>
      <rPr>
        <sz val="12"/>
        <color theme="8" tint="-0.499984740745262"/>
        <rFont val="Times New Roman"/>
        <family val="1"/>
      </rPr>
      <t>, respectively, is:</t>
    </r>
  </si>
  <si>
    <t>Std Dev</t>
  </si>
  <si>
    <r>
      <t>(</t>
    </r>
    <r>
      <rPr>
        <i/>
        <sz val="12"/>
        <color theme="8" tint="-0.499984740745262"/>
        <rFont val="Times New Roman"/>
        <family val="1"/>
      </rPr>
      <t>0.5 points</t>
    </r>
    <r>
      <rPr>
        <sz val="12"/>
        <color theme="8" tint="-0.499984740745262"/>
        <rFont val="Times New Roman"/>
        <family val="1"/>
      </rPr>
      <t>)  Estimate the coefficient of variation due to process variance for the 2022 loss.</t>
    </r>
  </si>
  <si>
    <r>
      <t>(</t>
    </r>
    <r>
      <rPr>
        <i/>
        <sz val="12"/>
        <color theme="8" tint="-0.499984740745262"/>
        <rFont val="Times New Roman"/>
        <family val="1"/>
      </rPr>
      <t>0.5 points</t>
    </r>
    <r>
      <rPr>
        <sz val="12"/>
        <color theme="8" tint="-0.499984740745262"/>
        <rFont val="Times New Roman"/>
        <family val="1"/>
      </rPr>
      <t>)  Estimate the expected loss for 2022.</t>
    </r>
  </si>
  <si>
    <t xml:space="preserve">In 2022, the premium is expected to be </t>
  </si>
  <si>
    <t>STANDARD DEVIATION</t>
  </si>
  <si>
    <t>TOTAL</t>
  </si>
  <si>
    <t>Loss Reserve</t>
  </si>
  <si>
    <t>1-G(x)</t>
  </si>
  <si>
    <t>Onlevel Prem</t>
  </si>
  <si>
    <t>Year</t>
  </si>
  <si>
    <r>
      <t>(</t>
    </r>
    <r>
      <rPr>
        <i/>
        <sz val="12"/>
        <color theme="8" tint="-0.499984740745262"/>
        <rFont val="Times New Roman"/>
        <family val="1"/>
      </rPr>
      <t>1.5 points</t>
    </r>
    <r>
      <rPr>
        <sz val="12"/>
        <color theme="8" tint="-0.499984740745262"/>
        <rFont val="Times New Roman"/>
        <family val="1"/>
      </rPr>
      <t>)  Estimate the process standard deviation of the loss reserve for all accident years combined.</t>
    </r>
  </si>
  <si>
    <r>
      <t>Answer in the table above, in the column indicated for the scale factor, σ</t>
    </r>
    <r>
      <rPr>
        <b/>
        <i/>
        <vertAlign val="superscript"/>
        <sz val="12"/>
        <color theme="8" tint="-0.499984740745262"/>
        <rFont val="Times New Roman"/>
        <family val="1"/>
      </rPr>
      <t>2</t>
    </r>
    <r>
      <rPr>
        <b/>
        <i/>
        <sz val="12"/>
        <color theme="8" tint="-0.499984740745262"/>
        <rFont val="Times New Roman"/>
        <family val="1"/>
      </rPr>
      <t>.</t>
    </r>
  </si>
  <si>
    <r>
      <t>(</t>
    </r>
    <r>
      <rPr>
        <i/>
        <sz val="12"/>
        <color theme="8" tint="-0.499984740745262"/>
        <rFont val="Times New Roman"/>
        <family val="1"/>
      </rPr>
      <t>1 point</t>
    </r>
    <r>
      <rPr>
        <sz val="12"/>
        <color theme="8" tint="-0.499984740745262"/>
        <rFont val="Times New Roman"/>
        <family val="1"/>
      </rPr>
      <t xml:space="preserve">)  Estimate the scale factor,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t>
    </r>
  </si>
  <si>
    <t>(a)</t>
  </si>
  <si>
    <r>
      <t xml:space="preserve">The maximum likelihood estimates of </t>
    </r>
    <r>
      <rPr>
        <i/>
        <sz val="12"/>
        <color theme="8" tint="-0.499984740745262"/>
        <rFont val="Times New Roman"/>
        <family val="1"/>
      </rPr>
      <t>ELR</t>
    </r>
    <r>
      <rPr>
        <sz val="12"/>
        <color theme="8" tint="-0.499984740745262"/>
        <rFont val="Times New Roman"/>
        <family val="1"/>
      </rPr>
      <t xml:space="preserve"> and </t>
    </r>
    <r>
      <rPr>
        <i/>
        <sz val="12"/>
        <color theme="8" tint="-0.499984740745262"/>
        <rFont val="Times New Roman"/>
        <family val="1"/>
      </rPr>
      <t>θ</t>
    </r>
    <r>
      <rPr>
        <sz val="12"/>
        <color theme="8" tint="-0.499984740745262"/>
        <rFont val="Times New Roman"/>
        <family val="1"/>
      </rPr>
      <t xml:space="preserve"> are as follows:</t>
    </r>
  </si>
  <si>
    <r>
      <t xml:space="preserve">exponential distribution with cumulative distribution function </t>
    </r>
    <r>
      <rPr>
        <i/>
        <sz val="12"/>
        <color theme="8" tint="-0.499984740745262"/>
        <rFont val="Times New Roman"/>
        <family val="1"/>
      </rPr>
      <t>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xml:space="preserve">) = 1 </t>
    </r>
    <r>
      <rPr>
        <sz val="12"/>
        <color theme="8" tint="-0.499984740745262"/>
        <rFont val="Calibri"/>
        <family val="2"/>
      </rPr>
      <t>−</t>
    </r>
    <r>
      <rPr>
        <sz val="12"/>
        <color theme="8" tint="-0.499984740745262"/>
        <rFont val="Times New Roman"/>
        <family val="1"/>
      </rPr>
      <t xml:space="preserve"> e</t>
    </r>
    <r>
      <rPr>
        <vertAlign val="superscript"/>
        <sz val="12"/>
        <color theme="8" tint="-0.499984740745262"/>
        <rFont val="Calibri"/>
        <family val="2"/>
      </rPr>
      <t>−</t>
    </r>
    <r>
      <rPr>
        <i/>
        <vertAlign val="superscript"/>
        <sz val="12"/>
        <color theme="8" tint="-0.499984740745262"/>
        <rFont val="Calibri Light"/>
        <family val="2"/>
      </rPr>
      <t>x</t>
    </r>
    <r>
      <rPr>
        <vertAlign val="superscript"/>
        <sz val="12"/>
        <color theme="8" tint="-0.499984740745262"/>
        <rFont val="Calibri Light"/>
        <family val="2"/>
      </rPr>
      <t>/</t>
    </r>
    <r>
      <rPr>
        <i/>
        <vertAlign val="superscript"/>
        <sz val="12"/>
        <color theme="8" tint="-0.499984740745262"/>
        <rFont val="Times New Roman"/>
        <family val="1"/>
      </rPr>
      <t>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t>
    </r>
  </si>
  <si>
    <t xml:space="preserve">You apply Clark’s stochastic reserving model using the Cape Cod method and an  </t>
  </si>
  <si>
    <t>Sigma-Squared</t>
  </si>
  <si>
    <t>G at the 
end of the interval</t>
  </si>
  <si>
    <t>Expected Increment
x</t>
  </si>
  <si>
    <r>
      <t>σ</t>
    </r>
    <r>
      <rPr>
        <b/>
        <i/>
        <vertAlign val="superscript"/>
        <sz val="12"/>
        <rFont val="Times New Roman"/>
        <family val="1"/>
      </rPr>
      <t>2</t>
    </r>
  </si>
  <si>
    <t>For your convenience</t>
  </si>
  <si>
    <r>
      <t>(</t>
    </r>
    <r>
      <rPr>
        <i/>
        <sz val="12"/>
        <color theme="8" tint="-0.499984740745262"/>
        <rFont val="Times New Roman"/>
        <family val="1"/>
      </rPr>
      <t>4 points</t>
    </r>
    <r>
      <rPr>
        <sz val="12"/>
        <color theme="8" tint="-0.499984740745262"/>
        <rFont val="Times New Roman"/>
        <family val="1"/>
      </rPr>
      <t>)  You are given the following data extracted from a triangle of cumulative paid losses:</t>
    </r>
  </si>
  <si>
    <t>randomly scattered about zero, with more positive values at 12 months and more negative at 24 months.</t>
  </si>
  <si>
    <t xml:space="preserve">While the variability is fairly constant from age to age, the residuals do not appear to be </t>
  </si>
  <si>
    <t>Answer in the space below—Graph is to the right</t>
  </si>
  <si>
    <r>
      <t>(</t>
    </r>
    <r>
      <rPr>
        <i/>
        <sz val="12"/>
        <color theme="8" tint="-0.499984740745262"/>
        <rFont val="Times New Roman"/>
        <family val="1"/>
      </rPr>
      <t>0.5 points</t>
    </r>
    <r>
      <rPr>
        <sz val="12"/>
        <color theme="8" tint="-0.499984740745262"/>
        <rFont val="Times New Roman"/>
        <family val="1"/>
      </rPr>
      <t>)  Determine if the model assumptions are satisfied, based on this graph.</t>
    </r>
  </si>
  <si>
    <t>and that the amount of variability would be roughly constant.</t>
  </si>
  <si>
    <t>We would expect that the residuals would be randomly scattered around the zero line for all of the ages,</t>
  </si>
  <si>
    <t>Plot of normalized residuals against increment age</t>
  </si>
  <si>
    <r>
      <t>(</t>
    </r>
    <r>
      <rPr>
        <i/>
        <sz val="12"/>
        <color theme="8" tint="-0.499984740745262"/>
        <rFont val="Times New Roman"/>
        <family val="1"/>
      </rPr>
      <t>0.5 points</t>
    </r>
    <r>
      <rPr>
        <sz val="12"/>
        <color theme="8" tint="-0.499984740745262"/>
        <rFont val="Times New Roman"/>
        <family val="1"/>
      </rPr>
      <t>)  Describe how the graph should appear if the model assumptions are satisfied.</t>
    </r>
  </si>
  <si>
    <t>Total</t>
  </si>
  <si>
    <t>Reserve</t>
  </si>
  <si>
    <t>AY Total</t>
  </si>
  <si>
    <t>ULT</t>
  </si>
  <si>
    <r>
      <t>(</t>
    </r>
    <r>
      <rPr>
        <i/>
        <sz val="12"/>
        <color theme="8" tint="-0.499984740745262"/>
        <rFont val="Times New Roman"/>
        <family val="1"/>
      </rPr>
      <t>1 point</t>
    </r>
    <r>
      <rPr>
        <sz val="12"/>
        <color theme="8" tint="-0.499984740745262"/>
        <rFont val="Times New Roman"/>
        <family val="1"/>
      </rPr>
      <t>)  Estimate the process standard deviation of the loss reserve for all accident years combined.</t>
    </r>
  </si>
  <si>
    <r>
      <t>Answer in the Table A, in the column indicated for the scale factor, σ</t>
    </r>
    <r>
      <rPr>
        <b/>
        <i/>
        <vertAlign val="superscript"/>
        <sz val="12"/>
        <color theme="8" tint="-0.499984740745262"/>
        <rFont val="Times New Roman"/>
        <family val="1"/>
      </rPr>
      <t xml:space="preserve">2 </t>
    </r>
    <r>
      <rPr>
        <b/>
        <i/>
        <sz val="12"/>
        <color theme="8" tint="-0.499984740745262"/>
        <rFont val="Times New Roman"/>
        <family val="1"/>
      </rPr>
      <t>(sigma-squared).</t>
    </r>
  </si>
  <si>
    <r>
      <t>(</t>
    </r>
    <r>
      <rPr>
        <i/>
        <sz val="12"/>
        <color theme="8" tint="-0.499984740745262"/>
        <rFont val="Times New Roman"/>
        <family val="1"/>
      </rPr>
      <t>1 point</t>
    </r>
    <r>
      <rPr>
        <sz val="12"/>
        <color theme="8" tint="-0.499984740745262"/>
        <rFont val="Times New Roman"/>
        <family val="1"/>
      </rPr>
      <t xml:space="preserve">)  Estimate the scale factor,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 xml:space="preserve"> (</t>
    </r>
    <r>
      <rPr>
        <i/>
        <sz val="12"/>
        <color theme="8" tint="-0.499984740745262"/>
        <rFont val="Times New Roman"/>
        <family val="1"/>
      </rPr>
      <t>sigma-squared</t>
    </r>
    <r>
      <rPr>
        <sz val="12"/>
        <color theme="8" tint="-0.499984740745262"/>
        <rFont val="Times New Roman"/>
        <family val="1"/>
      </rPr>
      <t>).</t>
    </r>
  </si>
  <si>
    <t>ULT2020</t>
  </si>
  <si>
    <t>ULT2019</t>
  </si>
  <si>
    <t>ULT2018</t>
  </si>
  <si>
    <t>ULT2017</t>
  </si>
  <si>
    <t>TABLE B</t>
  </si>
  <si>
    <t>Answer in Table B, below. The amounts will fill in column K of Table A above.</t>
  </si>
  <si>
    <r>
      <rPr>
        <i/>
        <sz val="12"/>
        <color theme="8" tint="-0.499984740745262"/>
        <rFont val="Times New Roman"/>
        <family val="1"/>
      </rPr>
      <t>(2 points)</t>
    </r>
    <r>
      <rPr>
        <sz val="12"/>
        <color theme="8" tint="-0.499984740745262"/>
        <rFont val="Times New Roman"/>
        <family val="1"/>
      </rPr>
      <t xml:space="preserve"> Calculate the maximum likelihood estimate of ultimate losses (</t>
    </r>
    <r>
      <rPr>
        <i/>
        <sz val="12"/>
        <color theme="8" tint="-0.499984740745262"/>
        <rFont val="Times New Roman"/>
        <family val="1"/>
      </rPr>
      <t>ULT</t>
    </r>
    <r>
      <rPr>
        <sz val="12"/>
        <color theme="8" tint="-0.499984740745262"/>
        <rFont val="Times New Roman"/>
        <family val="1"/>
      </rPr>
      <t>) for each of the four accident years.</t>
    </r>
  </si>
  <si>
    <r>
      <t xml:space="preserve">The maximum likelihood estimate of </t>
    </r>
    <r>
      <rPr>
        <i/>
        <sz val="12"/>
        <color theme="8" tint="-0.499984740745262"/>
        <rFont val="Times New Roman"/>
        <family val="1"/>
      </rPr>
      <t>θ</t>
    </r>
    <r>
      <rPr>
        <sz val="12"/>
        <color theme="8" tint="-0.499984740745262"/>
        <rFont val="Times New Roman"/>
        <family val="1"/>
      </rPr>
      <t xml:space="preserve"> is   </t>
    </r>
  </si>
  <si>
    <r>
      <t xml:space="preserve">distribution with cumulative distribution function </t>
    </r>
    <r>
      <rPr>
        <i/>
        <sz val="12"/>
        <color theme="8" tint="-0.499984740745262"/>
        <rFont val="Times New Roman"/>
        <family val="1"/>
      </rPr>
      <t>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xml:space="preserve">) = 1 </t>
    </r>
    <r>
      <rPr>
        <sz val="12"/>
        <color theme="8" tint="-0.499984740745262"/>
        <rFont val="Calibri"/>
        <family val="2"/>
      </rPr>
      <t>−</t>
    </r>
    <r>
      <rPr>
        <sz val="12"/>
        <color theme="8" tint="-0.499984740745262"/>
        <rFont val="Times New Roman"/>
        <family val="1"/>
      </rPr>
      <t xml:space="preserve"> exp(</t>
    </r>
    <r>
      <rPr>
        <sz val="12"/>
        <color theme="8" tint="-0.499984740745262"/>
        <rFont val="Calibri"/>
        <family val="2"/>
      </rPr>
      <t>−</t>
    </r>
    <r>
      <rPr>
        <i/>
        <sz val="12"/>
        <color theme="8" tint="-0.499984740745262"/>
        <rFont val="Times New Roman"/>
        <family val="1"/>
      </rPr>
      <t>x/θ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 </t>
    </r>
  </si>
  <si>
    <t xml:space="preserve">You apply Clark’s stochastic reserving model using the LDF method and an exponential </t>
  </si>
  <si>
    <t>Ultimate</t>
  </si>
  <si>
    <t>To 
(months)</t>
  </si>
  <si>
    <t>r</t>
  </si>
  <si>
    <t>Interval</t>
  </si>
  <si>
    <t>TABLE A</t>
  </si>
  <si>
    <r>
      <rPr>
        <i/>
        <strike/>
        <sz val="11"/>
        <color theme="1"/>
        <rFont val="Times New Roman"/>
        <family val="1"/>
      </rPr>
      <t>g</t>
    </r>
    <r>
      <rPr>
        <strike/>
        <sz val="11"/>
        <color theme="1"/>
        <rFont val="Times New Roman"/>
        <family val="1"/>
      </rPr>
      <t xml:space="preserve"> values agree to two decimal places from prior iteration</t>
    </r>
  </si>
  <si>
    <t>g</t>
  </si>
  <si>
    <t>f</t>
  </si>
  <si>
    <r>
      <rPr>
        <i/>
        <strike/>
        <sz val="11"/>
        <color theme="8" tint="-0.499984740745262"/>
        <rFont val="Times New Roman"/>
        <family val="1"/>
      </rPr>
      <t>f</t>
    </r>
    <r>
      <rPr>
        <strike/>
        <sz val="11"/>
        <color theme="8" tint="-0.499984740745262"/>
        <rFont val="Times New Roman"/>
        <family val="1"/>
      </rPr>
      <t>/</t>
    </r>
    <r>
      <rPr>
        <i/>
        <strike/>
        <sz val="11"/>
        <color theme="8" tint="-0.499984740745262"/>
        <rFont val="Times New Roman"/>
        <family val="1"/>
      </rPr>
      <t>g</t>
    </r>
  </si>
  <si>
    <t>iteration</t>
  </si>
  <si>
    <r>
      <t xml:space="preserve">to two decimal places.  Begin the iterative process with the </t>
    </r>
    <r>
      <rPr>
        <i/>
        <strike/>
        <sz val="12"/>
        <color theme="8" tint="-0.499984740745262"/>
        <rFont val="Times New Roman"/>
        <family val="1"/>
      </rPr>
      <t>f</t>
    </r>
    <r>
      <rPr>
        <strike/>
        <sz val="12"/>
        <color theme="8" tint="-0.499984740745262"/>
        <rFont val="Times New Roman"/>
        <family val="1"/>
      </rPr>
      <t>-values calculated in part (d).</t>
    </r>
  </si>
  <si>
    <r>
      <t xml:space="preserve">to estimate the next iteration of </t>
    </r>
    <r>
      <rPr>
        <i/>
        <strike/>
        <sz val="12"/>
        <color theme="8" tint="-0.499984740745262"/>
        <rFont val="Times New Roman"/>
        <family val="1"/>
      </rPr>
      <t>f</t>
    </r>
    <r>
      <rPr>
        <strike/>
        <sz val="12"/>
        <color theme="8" tint="-0.499984740745262"/>
        <rFont val="Times New Roman"/>
        <family val="1"/>
      </rPr>
      <t xml:space="preserve">-values by linear regression, and so on until consecutive </t>
    </r>
    <r>
      <rPr>
        <i/>
        <strike/>
        <sz val="12"/>
        <color theme="8" tint="-0.499984740745262"/>
        <rFont val="Times New Roman"/>
        <family val="1"/>
      </rPr>
      <t>g</t>
    </r>
    <r>
      <rPr>
        <strike/>
        <sz val="12"/>
        <color theme="8" tint="-0.499984740745262"/>
        <rFont val="Times New Roman"/>
        <family val="1"/>
      </rPr>
      <t xml:space="preserve">-values agree </t>
    </r>
  </si>
  <si>
    <r>
      <t xml:space="preserve">residuals by fixing the </t>
    </r>
    <r>
      <rPr>
        <i/>
        <strike/>
        <sz val="12"/>
        <color theme="8" tint="-0.499984740745262"/>
        <rFont val="Times New Roman"/>
        <family val="1"/>
      </rPr>
      <t>f</t>
    </r>
    <r>
      <rPr>
        <strike/>
        <sz val="12"/>
        <color theme="8" tint="-0.499984740745262"/>
        <rFont val="Times New Roman"/>
        <family val="1"/>
      </rPr>
      <t xml:space="preserve">-values to estimate the </t>
    </r>
    <r>
      <rPr>
        <i/>
        <strike/>
        <sz val="12"/>
        <color theme="8" tint="-0.499984740745262"/>
        <rFont val="Times New Roman"/>
        <family val="1"/>
      </rPr>
      <t>g</t>
    </r>
    <r>
      <rPr>
        <strike/>
        <sz val="12"/>
        <color theme="8" tint="-0.499984740745262"/>
        <rFont val="Times New Roman"/>
        <family val="1"/>
      </rPr>
      <t xml:space="preserve">-values by linear regression, then fixing the </t>
    </r>
    <r>
      <rPr>
        <i/>
        <strike/>
        <sz val="12"/>
        <color theme="8" tint="-0.499984740745262"/>
        <rFont val="Times New Roman"/>
        <family val="1"/>
      </rPr>
      <t>g</t>
    </r>
    <r>
      <rPr>
        <strike/>
        <sz val="12"/>
        <color theme="8" tint="-0.499984740745262"/>
        <rFont val="Times New Roman"/>
        <family val="1"/>
      </rPr>
      <t xml:space="preserve">-values </t>
    </r>
  </si>
  <si>
    <r>
      <t>(</t>
    </r>
    <r>
      <rPr>
        <i/>
        <strike/>
        <sz val="12"/>
        <color theme="8" tint="-0.499984740745262"/>
        <rFont val="Times New Roman"/>
        <family val="1"/>
      </rPr>
      <t>3 points</t>
    </r>
    <r>
      <rPr>
        <strike/>
        <sz val="12"/>
        <color theme="8" tint="-0.499984740745262"/>
        <rFont val="Times New Roman"/>
        <family val="1"/>
      </rPr>
      <t xml:space="preserve">)  Calculate the values of </t>
    </r>
    <r>
      <rPr>
        <i/>
        <strike/>
        <sz val="12"/>
        <color theme="8" tint="-0.499984740745262"/>
        <rFont val="Times New Roman"/>
        <family val="1"/>
      </rPr>
      <t>f</t>
    </r>
    <r>
      <rPr>
        <strike/>
        <sz val="12"/>
        <color theme="8" tint="-0.499984740745262"/>
        <rFont val="Times New Roman"/>
        <family val="1"/>
      </rPr>
      <t>(1)-</t>
    </r>
    <r>
      <rPr>
        <i/>
        <strike/>
        <sz val="12"/>
        <color theme="8" tint="-0.499984740745262"/>
        <rFont val="Times New Roman"/>
        <family val="1"/>
      </rPr>
      <t>f</t>
    </r>
    <r>
      <rPr>
        <strike/>
        <sz val="12"/>
        <color theme="8" tint="-0.499984740745262"/>
        <rFont val="Times New Roman"/>
        <family val="1"/>
      </rPr>
      <t xml:space="preserve">(7)  and </t>
    </r>
    <r>
      <rPr>
        <i/>
        <strike/>
        <sz val="12"/>
        <color theme="8" tint="-0.499984740745262"/>
        <rFont val="Times New Roman"/>
        <family val="1"/>
      </rPr>
      <t>g</t>
    </r>
    <r>
      <rPr>
        <strike/>
        <sz val="12"/>
        <color theme="8" tint="-0.499984740745262"/>
        <rFont val="Times New Roman"/>
        <family val="1"/>
      </rPr>
      <t>(2)-</t>
    </r>
    <r>
      <rPr>
        <i/>
        <strike/>
        <sz val="12"/>
        <color theme="8" tint="-0.499984740745262"/>
        <rFont val="Times New Roman"/>
        <family val="1"/>
      </rPr>
      <t>g</t>
    </r>
    <r>
      <rPr>
        <strike/>
        <sz val="12"/>
        <color theme="8" tint="-0.499984740745262"/>
        <rFont val="Times New Roman"/>
        <family val="1"/>
      </rPr>
      <t xml:space="preserve">(7) that minimize the sum of squared </t>
    </r>
  </si>
  <si>
    <t>(f)</t>
  </si>
  <si>
    <r>
      <t xml:space="preserve">diagonal effect </t>
    </r>
    <r>
      <rPr>
        <i/>
        <strike/>
        <sz val="12"/>
        <color theme="8" tint="-0.499984740745262"/>
        <rFont val="Times New Roman"/>
        <family val="1"/>
      </rPr>
      <t>g</t>
    </r>
    <r>
      <rPr>
        <strike/>
        <sz val="12"/>
        <color theme="8" tint="-0.499984740745262"/>
        <rFont val="Times New Roman"/>
        <family val="1"/>
      </rPr>
      <t>(</t>
    </r>
    <r>
      <rPr>
        <i/>
        <strike/>
        <sz val="12"/>
        <color theme="8" tint="-0.499984740745262"/>
        <rFont val="Times New Roman"/>
        <family val="1"/>
      </rPr>
      <t>w</t>
    </r>
    <r>
      <rPr>
        <strike/>
        <sz val="12"/>
        <color theme="8" tint="-0.499984740745262"/>
        <rFont val="Times New Roman"/>
        <family val="1"/>
      </rPr>
      <t xml:space="preserve"> + </t>
    </r>
    <r>
      <rPr>
        <i/>
        <strike/>
        <sz val="12"/>
        <color theme="8" tint="-0.499984740745262"/>
        <rFont val="Times New Roman"/>
        <family val="1"/>
      </rPr>
      <t>d</t>
    </r>
    <r>
      <rPr>
        <strike/>
        <sz val="12"/>
        <color theme="8" tint="-0.499984740745262"/>
        <rFont val="Times New Roman"/>
        <family val="1"/>
      </rPr>
      <t xml:space="preserve">).  Without loss of generality, you assume that </t>
    </r>
    <r>
      <rPr>
        <i/>
        <strike/>
        <sz val="12"/>
        <color theme="8" tint="-0.499984740745262"/>
        <rFont val="Times New Roman"/>
        <family val="1"/>
      </rPr>
      <t>g</t>
    </r>
    <r>
      <rPr>
        <strike/>
        <sz val="12"/>
        <color theme="8" tint="-0.499984740745262"/>
        <rFont val="Times New Roman"/>
        <family val="1"/>
      </rPr>
      <t>(8) = 1.</t>
    </r>
  </si>
  <si>
    <r>
      <t xml:space="preserve">You then add diagonal effects, so the expected emerged loss is a development term </t>
    </r>
    <r>
      <rPr>
        <i/>
        <strike/>
        <sz val="12"/>
        <color theme="8" tint="-0.499984740745262"/>
        <rFont val="Times New Roman"/>
        <family val="1"/>
      </rPr>
      <t>f</t>
    </r>
    <r>
      <rPr>
        <strike/>
        <sz val="12"/>
        <color theme="8" tint="-0.499984740745262"/>
        <rFont val="Times New Roman"/>
        <family val="1"/>
      </rPr>
      <t>(</t>
    </r>
    <r>
      <rPr>
        <i/>
        <strike/>
        <sz val="12"/>
        <color theme="8" tint="-0.499984740745262"/>
        <rFont val="Times New Roman"/>
        <family val="1"/>
      </rPr>
      <t>d</t>
    </r>
    <r>
      <rPr>
        <strike/>
        <sz val="12"/>
        <color theme="8" tint="-0.499984740745262"/>
        <rFont val="Times New Roman"/>
        <family val="1"/>
      </rPr>
      <t xml:space="preserve">) times a </t>
    </r>
  </si>
  <si>
    <r>
      <t>(</t>
    </r>
    <r>
      <rPr>
        <i/>
        <strike/>
        <sz val="12"/>
        <color theme="8" tint="-0.499984740745262"/>
        <rFont val="Times New Roman"/>
        <family val="1"/>
      </rPr>
      <t>1 point</t>
    </r>
    <r>
      <rPr>
        <strike/>
        <sz val="12"/>
        <color theme="8" tint="-0.499984740745262"/>
        <rFont val="Times New Roman"/>
        <family val="1"/>
      </rPr>
      <t>)  Estimate the loss that will emerge in the next calendar year for accident years 2-7 combined.</t>
    </r>
  </si>
  <si>
    <r>
      <rPr>
        <i/>
        <strike/>
        <sz val="11"/>
        <color theme="1"/>
        <rFont val="Times New Roman"/>
        <family val="1"/>
      </rPr>
      <t>f</t>
    </r>
    <r>
      <rPr>
        <strike/>
        <sz val="11"/>
        <color theme="1"/>
        <rFont val="Times New Roman"/>
        <family val="1"/>
      </rPr>
      <t>(d)</t>
    </r>
  </si>
  <si>
    <t>d</t>
  </si>
  <si>
    <t>Incremental Triangle</t>
  </si>
  <si>
    <r>
      <t>(</t>
    </r>
    <r>
      <rPr>
        <i/>
        <strike/>
        <sz val="12"/>
        <color theme="8" tint="-0.499984740745262"/>
        <rFont val="Times New Roman"/>
        <family val="1"/>
      </rPr>
      <t>1 point</t>
    </r>
    <r>
      <rPr>
        <strike/>
        <sz val="12"/>
        <color theme="8" tint="-0.499984740745262"/>
        <rFont val="Times New Roman"/>
        <family val="1"/>
      </rPr>
      <t xml:space="preserve">)  Calculate the development terms </t>
    </r>
    <r>
      <rPr>
        <i/>
        <strike/>
        <sz val="12"/>
        <color theme="8" tint="-0.499984740745262"/>
        <rFont val="Times New Roman"/>
        <family val="1"/>
      </rPr>
      <t>f</t>
    </r>
    <r>
      <rPr>
        <strike/>
        <sz val="12"/>
        <color theme="8" tint="-0.499984740745262"/>
        <rFont val="Times New Roman"/>
        <family val="1"/>
      </rPr>
      <t>(1)-</t>
    </r>
    <r>
      <rPr>
        <i/>
        <strike/>
        <sz val="12"/>
        <color theme="8" tint="-0.499984740745262"/>
        <rFont val="Times New Roman"/>
        <family val="1"/>
      </rPr>
      <t>f</t>
    </r>
    <r>
      <rPr>
        <strike/>
        <sz val="12"/>
        <color theme="8" tint="-0.499984740745262"/>
        <rFont val="Times New Roman"/>
        <family val="1"/>
      </rPr>
      <t>(7) that minimize the sum of squared residuals.</t>
    </r>
  </si>
  <si>
    <r>
      <t xml:space="preserve">loss at each age is a development term </t>
    </r>
    <r>
      <rPr>
        <i/>
        <strike/>
        <sz val="12"/>
        <color theme="8" tint="-0.499984740745262"/>
        <rFont val="Times New Roman"/>
        <family val="1"/>
      </rPr>
      <t>f</t>
    </r>
    <r>
      <rPr>
        <strike/>
        <sz val="12"/>
        <color theme="8" tint="-0.499984740745262"/>
        <rFont val="Times New Roman"/>
        <family val="1"/>
      </rPr>
      <t>(</t>
    </r>
    <r>
      <rPr>
        <i/>
        <strike/>
        <sz val="12"/>
        <color theme="8" tint="-0.499984740745262"/>
        <rFont val="Times New Roman"/>
        <family val="1"/>
      </rPr>
      <t>d</t>
    </r>
    <r>
      <rPr>
        <strike/>
        <sz val="12"/>
        <color theme="8" tint="-0.499984740745262"/>
        <rFont val="Times New Roman"/>
        <family val="1"/>
      </rPr>
      <t>).  This is equivalent to the additive chain ladder model.</t>
    </r>
  </si>
  <si>
    <t>As an alternative to the chain ladder model, you begin with the Cape Cod method where the expected emerged</t>
  </si>
  <si>
    <t>The accumulated total claims amounts of different accident years are independent.</t>
  </si>
  <si>
    <r>
      <t>(</t>
    </r>
    <r>
      <rPr>
        <i/>
        <sz val="12"/>
        <color theme="8" tint="-0.499984740745262"/>
        <rFont val="Times New Roman"/>
        <family val="1"/>
      </rPr>
      <t>0.5 points</t>
    </r>
    <r>
      <rPr>
        <sz val="12"/>
        <color theme="8" tint="-0.499984740745262"/>
        <rFont val="Times New Roman"/>
        <family val="1"/>
      </rPr>
      <t>)  Identify that assumption.</t>
    </r>
  </si>
  <si>
    <t>assumptions does not hold.</t>
  </si>
  <si>
    <t xml:space="preserve">A test statistic equal to 2 indicates that there is a calendar year effect and implies that one of the chain ladder </t>
  </si>
  <si>
    <t>Zj</t>
  </si>
  <si>
    <t>Lj</t>
  </si>
  <si>
    <t>Sj</t>
  </si>
  <si>
    <t>j</t>
  </si>
  <si>
    <t>Test statistic is the sum of the Z's.</t>
  </si>
  <si>
    <t>Count for every diagonal (j &gt; 1) the S's and L's, then determine the Z's (where Z is the minimum of the Sj and Lj for each j).</t>
  </si>
  <si>
    <t>L</t>
  </si>
  <si>
    <t>j=6</t>
  </si>
  <si>
    <t>j=5</t>
  </si>
  <si>
    <t>S</t>
  </si>
  <si>
    <t>j=4</t>
  </si>
  <si>
    <t>j=3</t>
  </si>
  <si>
    <t>j=2</t>
  </si>
  <si>
    <t>*</t>
  </si>
  <si>
    <t>j=1</t>
  </si>
  <si>
    <t>median, *</t>
  </si>
  <si>
    <t>Subdivide factors for each column into smaller (S) or larger (L) than median (*) factor.</t>
  </si>
  <si>
    <r>
      <t>(</t>
    </r>
    <r>
      <rPr>
        <i/>
        <sz val="12"/>
        <color theme="8" tint="-0.499984740745262"/>
        <rFont val="Times New Roman"/>
        <family val="1"/>
      </rPr>
      <t>2 points</t>
    </r>
    <r>
      <rPr>
        <sz val="12"/>
        <color theme="8" tint="-0.499984740745262"/>
        <rFont val="Times New Roman"/>
        <family val="1"/>
      </rPr>
      <t>)  Demonstrate that the test statistic suggested by Mack to test for a calendar year effect is equal to 2.</t>
    </r>
  </si>
  <si>
    <t xml:space="preserve">the previous development year times a proportionality constant that does not vary by accident year. </t>
  </si>
  <si>
    <t xml:space="preserve">- The conditional variance of the accumulated total claims amount at a given development year is the accumulated total claims amount at </t>
  </si>
  <si>
    <t>- The accumulated total claims amounts of different accident years are independent.</t>
  </si>
  <si>
    <t>the previous development year times a development factor that does not vary by accident year.</t>
  </si>
  <si>
    <t>- The conditional expected accumulated total claims amount at a given development year is the accumulated total claims amount at</t>
  </si>
  <si>
    <r>
      <t>(</t>
    </r>
    <r>
      <rPr>
        <i/>
        <sz val="12"/>
        <color theme="8" tint="-0.499984740745262"/>
        <rFont val="Times New Roman"/>
        <family val="1"/>
      </rPr>
      <t>1.5 points</t>
    </r>
    <r>
      <rPr>
        <sz val="12"/>
        <color theme="8" tint="-0.499984740745262"/>
        <rFont val="Times New Roman"/>
        <family val="1"/>
      </rPr>
      <t>)  State the three statistical assumptions underlying the chain ladder model.</t>
    </r>
  </si>
  <si>
    <r>
      <t>(</t>
    </r>
    <r>
      <rPr>
        <i/>
        <sz val="12"/>
        <color theme="8" tint="-0.499984740745262"/>
        <rFont val="Times New Roman"/>
        <family val="1"/>
      </rPr>
      <t>9 points</t>
    </r>
    <r>
      <rPr>
        <sz val="12"/>
        <color theme="8" tint="-0.499984740745262"/>
        <rFont val="Times New Roman"/>
        <family val="1"/>
      </rPr>
      <t xml:space="preserve">)  You are interested in determining a model for loss development.  The triangle of loss data you are working with, by accident year (AY) and development year, is:  </t>
    </r>
  </si>
  <si>
    <t>The part (d)-(f) calculations are no longer on the syllabus.</t>
  </si>
  <si>
    <t>Paid</t>
  </si>
  <si>
    <r>
      <t>(</t>
    </r>
    <r>
      <rPr>
        <i/>
        <sz val="12"/>
        <color theme="8" tint="-0.499984740745262"/>
        <rFont val="Times New Roman"/>
        <family val="1"/>
      </rPr>
      <t>1 point</t>
    </r>
    <r>
      <rPr>
        <sz val="12"/>
        <color theme="8" tint="-0.499984740745262"/>
        <rFont val="Times New Roman"/>
        <family val="1"/>
      </rPr>
      <t>)  Calculate the total reserve for the four accident years combined.</t>
    </r>
  </si>
  <si>
    <r>
      <t>(</t>
    </r>
    <r>
      <rPr>
        <i/>
        <sz val="12"/>
        <color theme="8" tint="-0.499984740745262"/>
        <rFont val="Times New Roman"/>
        <family val="1"/>
      </rPr>
      <t>1 point</t>
    </r>
    <r>
      <rPr>
        <sz val="12"/>
        <color theme="8" tint="-0.499984740745262"/>
        <rFont val="Times New Roman"/>
        <family val="1"/>
      </rPr>
      <t>)  Calculate the value of the loglikelihood function at its maximum.</t>
    </r>
  </si>
  <si>
    <t>l</t>
  </si>
  <si>
    <t>Expected Increment</t>
  </si>
  <si>
    <t>OLP times [G(end)-G(beginning)]</t>
  </si>
  <si>
    <t>end of the interval (months)</t>
  </si>
  <si>
    <t>beginning of the interval (months)</t>
  </si>
  <si>
    <t>Diagonal 
Age for AY</t>
  </si>
  <si>
    <t>Onlevel Premium (OLP)</t>
  </si>
  <si>
    <t>Accident Year 
(AY)</t>
  </si>
  <si>
    <t>For part (d)</t>
  </si>
  <si>
    <r>
      <t>(</t>
    </r>
    <r>
      <rPr>
        <i/>
        <sz val="12"/>
        <color theme="8" tint="-0.499984740745262"/>
        <rFont val="Times New Roman"/>
        <family val="1"/>
      </rPr>
      <t>1.5 points</t>
    </r>
    <r>
      <rPr>
        <sz val="12"/>
        <color theme="8" tint="-0.499984740745262"/>
        <rFont val="Times New Roman"/>
        <family val="1"/>
      </rPr>
      <t xml:space="preserve">)  Calculate the MLE of </t>
    </r>
    <r>
      <rPr>
        <i/>
        <sz val="12"/>
        <color theme="8" tint="-0.499984740745262"/>
        <rFont val="Times New Roman"/>
        <family val="1"/>
      </rPr>
      <t>ELR</t>
    </r>
    <r>
      <rPr>
        <sz val="12"/>
        <color theme="8" tint="-0.499984740745262"/>
        <rFont val="Times New Roman"/>
        <family val="1"/>
      </rPr>
      <t>.</t>
    </r>
  </si>
  <si>
    <t>ω</t>
  </si>
  <si>
    <r>
      <t xml:space="preserve">The maximum likelihood estimates (MLEs) of </t>
    </r>
    <r>
      <rPr>
        <i/>
        <sz val="12"/>
        <color theme="8" tint="-0.499984740745262"/>
        <rFont val="Times New Roman"/>
        <family val="1"/>
      </rPr>
      <t>ω</t>
    </r>
    <r>
      <rPr>
        <sz val="12"/>
        <color theme="8" tint="-0.499984740745262"/>
        <rFont val="Times New Roman"/>
        <family val="1"/>
      </rPr>
      <t xml:space="preserve"> and  </t>
    </r>
    <r>
      <rPr>
        <i/>
        <sz val="12"/>
        <color theme="8" tint="-0.499984740745262"/>
        <rFont val="Times New Roman"/>
        <family val="1"/>
      </rPr>
      <t>θ</t>
    </r>
    <r>
      <rPr>
        <sz val="12"/>
        <color theme="8" tint="-0.499984740745262"/>
        <rFont val="Times New Roman"/>
        <family val="1"/>
      </rPr>
      <t xml:space="preserve"> are as follows:</t>
    </r>
  </si>
  <si>
    <r>
      <t xml:space="preserve">Maximum likelihood estimates can be obtained by maximizing the function </t>
    </r>
    <r>
      <rPr>
        <sz val="12"/>
        <color theme="8" tint="-0.499984740745262"/>
        <rFont val="Script MT Bold"/>
        <family val="4"/>
      </rPr>
      <t>l</t>
    </r>
    <r>
      <rPr>
        <sz val="12"/>
        <color theme="8" tint="-0.499984740745262"/>
        <rFont val="Times New Roman"/>
        <family val="1"/>
      </rPr>
      <t xml:space="preserve"> = </t>
    </r>
    <r>
      <rPr>
        <sz val="12"/>
        <color theme="8" tint="-0.499984740745262"/>
        <rFont val="Calibri"/>
        <family val="2"/>
      </rPr>
      <t>Σ</t>
    </r>
    <r>
      <rPr>
        <vertAlign val="subscript"/>
        <sz val="12"/>
        <color theme="8" tint="-0.499984740745262"/>
        <rFont val="Times New Roman"/>
        <family val="1"/>
      </rPr>
      <t>i</t>
    </r>
    <r>
      <rPr>
        <sz val="12"/>
        <color theme="8" tint="-0.499984740745262"/>
        <rFont val="Times New Roman"/>
        <family val="1"/>
      </rPr>
      <t>[c</t>
    </r>
    <r>
      <rPr>
        <vertAlign val="subscript"/>
        <sz val="12"/>
        <color theme="8" tint="-0.499984740745262"/>
        <rFont val="Times New Roman"/>
        <family val="1"/>
      </rPr>
      <t>i</t>
    </r>
    <r>
      <rPr>
        <sz val="12"/>
        <color theme="8" tint="-0.499984740745262"/>
        <rFont val="Times New Roman"/>
        <family val="1"/>
      </rPr>
      <t>ln(</t>
    </r>
    <r>
      <rPr>
        <i/>
        <sz val="12"/>
        <color theme="8" tint="-0.499984740745262"/>
        <rFont val="Times New Roman"/>
        <family val="1"/>
      </rPr>
      <t>μ</t>
    </r>
    <r>
      <rPr>
        <vertAlign val="subscript"/>
        <sz val="12"/>
        <color theme="8" tint="-0.499984740745262"/>
        <rFont val="Times New Roman"/>
        <family val="1"/>
      </rPr>
      <t>i</t>
    </r>
    <r>
      <rPr>
        <sz val="12"/>
        <color theme="8" tint="-0.499984740745262"/>
        <rFont val="Times New Roman"/>
        <family val="1"/>
      </rPr>
      <t>)-</t>
    </r>
    <r>
      <rPr>
        <i/>
        <sz val="12"/>
        <color theme="8" tint="-0.499984740745262"/>
        <rFont val="Calibri"/>
        <family val="2"/>
      </rPr>
      <t>μ</t>
    </r>
    <r>
      <rPr>
        <vertAlign val="subscript"/>
        <sz val="12"/>
        <color theme="8" tint="-0.499984740745262"/>
        <rFont val="Times New Roman"/>
        <family val="1"/>
      </rPr>
      <t>i</t>
    </r>
    <r>
      <rPr>
        <sz val="12"/>
        <color theme="8" tint="-0.499984740745262"/>
        <rFont val="Times New Roman"/>
        <family val="1"/>
      </rPr>
      <t>].</t>
    </r>
  </si>
  <si>
    <t>Provide the response for this part in the Word document.</t>
  </si>
  <si>
    <r>
      <t>(</t>
    </r>
    <r>
      <rPr>
        <i/>
        <sz val="12"/>
        <color theme="8" tint="-0.499984740745262"/>
        <rFont val="Times New Roman"/>
        <family val="1"/>
      </rPr>
      <t>0.5 points</t>
    </r>
    <r>
      <rPr>
        <sz val="12"/>
        <color theme="8" tint="-0.499984740745262"/>
        <rFont val="Times New Roman"/>
        <family val="1"/>
      </rPr>
      <t>)  State one reason the Cape Cod method is generally preferred over the LDF method.</t>
    </r>
  </si>
  <si>
    <r>
      <rPr>
        <i/>
        <sz val="12"/>
        <color theme="8" tint="-0.499984740745262"/>
        <rFont val="Times New Roman"/>
        <family val="1"/>
      </rPr>
      <t>(1 point)</t>
    </r>
    <r>
      <rPr>
        <sz val="12"/>
        <color theme="8" tint="-0.499984740745262"/>
        <rFont val="Times New Roman"/>
        <family val="1"/>
      </rPr>
      <t xml:space="preserve"> State three advantages of using a parametric curve to model development.</t>
    </r>
  </si>
  <si>
    <r>
      <rPr>
        <i/>
        <sz val="12"/>
        <color theme="8" tint="-0.499984740745262"/>
        <rFont val="Times New Roman"/>
        <family val="1"/>
      </rPr>
      <t>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 1 - exp[-(</t>
    </r>
    <r>
      <rPr>
        <i/>
        <sz val="12"/>
        <color theme="8" tint="-0.499984740745262"/>
        <rFont val="Times New Roman"/>
        <family val="1"/>
      </rPr>
      <t>x</t>
    </r>
    <r>
      <rPr>
        <sz val="12"/>
        <color theme="8" tint="-0.499984740745262"/>
        <rFont val="Times New Roman"/>
        <family val="1"/>
      </rPr>
      <t>/</t>
    </r>
    <r>
      <rPr>
        <i/>
        <sz val="12"/>
        <color theme="8" tint="-0.499984740745262"/>
        <rFont val="Times New Roman"/>
        <family val="1"/>
      </rPr>
      <t>θ</t>
    </r>
    <r>
      <rPr>
        <sz val="12"/>
        <color theme="8" tint="-0.499984740745262"/>
        <rFont val="Times New Roman"/>
        <family val="1"/>
      </rPr>
      <t>)</t>
    </r>
    <r>
      <rPr>
        <i/>
        <vertAlign val="superscript"/>
        <sz val="12"/>
        <color theme="8" tint="-0.499984740745262"/>
        <rFont val="Calibri"/>
        <family val="2"/>
      </rPr>
      <t>ω</t>
    </r>
    <r>
      <rPr>
        <sz val="12"/>
        <color theme="8" tint="-0.499984740745262"/>
        <rFont val="Times New Roman"/>
        <family val="1"/>
      </rPr>
      <t>]  where x is in months.</t>
    </r>
  </si>
  <si>
    <t>You apply Clark’s stochastic reserving model using the Cape Cod method and a Weibull distribution with cumulative distribution function</t>
  </si>
  <si>
    <t>You are also given the following onlevel premiums:</t>
  </si>
  <si>
    <t>Note that the final development period covers only nine months.</t>
  </si>
  <si>
    <r>
      <t>(</t>
    </r>
    <r>
      <rPr>
        <i/>
        <sz val="12"/>
        <color theme="8" tint="-0.499984740745262"/>
        <rFont val="Times New Roman"/>
        <family val="1"/>
      </rPr>
      <t>5 points</t>
    </r>
    <r>
      <rPr>
        <sz val="12"/>
        <color theme="8" tint="-0.499984740745262"/>
        <rFont val="Times New Roman"/>
        <family val="1"/>
      </rPr>
      <t>)  You are given the following data extracted from a triangle of cumulative paid losses.</t>
    </r>
  </si>
  <si>
    <t>Responses for parts (a) and (b) are to be provided in the Word document.</t>
  </si>
  <si>
    <t xml:space="preserve"> Parameter variance of the reserve for accident year 2020.</t>
  </si>
  <si>
    <t>(5,5)</t>
  </si>
  <si>
    <t>(3,5) twice</t>
  </si>
  <si>
    <t>ULT2021</t>
  </si>
  <si>
    <t>(3,3)</t>
  </si>
  <si>
    <t>There are only three terms in the variance formula as follows:</t>
  </si>
  <si>
    <t>The other three derivatives are zero.</t>
  </si>
  <si>
    <t>The derivative with respect to theta is -MLE_ULT(G').</t>
  </si>
  <si>
    <t>The derivative with respect to MLE_ULT is (1-G).</t>
  </si>
  <si>
    <t>Covariance Matrix</t>
  </si>
  <si>
    <t>The formula for the reserve is MLE_ULT(1-G).</t>
  </si>
  <si>
    <t>(Note: Covariance matrix is provided for your convenience)</t>
  </si>
  <si>
    <r>
      <t>(</t>
    </r>
    <r>
      <rPr>
        <i/>
        <sz val="12"/>
        <color theme="8" tint="-0.499984740745262"/>
        <rFont val="Times New Roman"/>
        <family val="1"/>
      </rPr>
      <t>1.5 points</t>
    </r>
    <r>
      <rPr>
        <sz val="12"/>
        <color theme="8" tint="-0.499984740745262"/>
        <rFont val="Times New Roman"/>
        <family val="1"/>
      </rPr>
      <t>)  Estimate the parameter variance of the reserve for accident year 2020.</t>
    </r>
  </si>
  <si>
    <r>
      <t>(</t>
    </r>
    <r>
      <rPr>
        <i/>
        <sz val="12"/>
        <color theme="8" tint="-0.499984740745262"/>
        <rFont val="Times New Roman"/>
        <family val="1"/>
      </rPr>
      <t>0.5 points</t>
    </r>
    <r>
      <rPr>
        <sz val="12"/>
        <color theme="8" tint="-0.499984740745262"/>
        <rFont val="Times New Roman"/>
        <family val="1"/>
      </rPr>
      <t>)  Estimate the process variance of the reserve for accident year 2020.</t>
    </r>
  </si>
  <si>
    <t>Let c be the incremental loss and G be the value of the distribution function at the end of the interval. The estimate of ULT is c/G. The estimated expected increment, mu, is ULT × G = c. Hence, the estimate always matches the observed increment and the difference must be zero.</t>
  </si>
  <si>
    <r>
      <t>(</t>
    </r>
    <r>
      <rPr>
        <i/>
        <sz val="12"/>
        <color theme="8" tint="-0.499984740745262"/>
        <rFont val="Times New Roman"/>
        <family val="1"/>
      </rPr>
      <t>1 point</t>
    </r>
    <r>
      <rPr>
        <sz val="12"/>
        <color theme="8" tint="-0.499984740745262"/>
        <rFont val="Times New Roman"/>
        <family val="1"/>
      </rPr>
      <t>)  Explain why an accident year with a single incremental value will always contribute zero to the estimate.</t>
    </r>
  </si>
  <si>
    <r>
      <t xml:space="preserve">The contribution for accident year 2021 to the estimate of </t>
    </r>
    <r>
      <rPr>
        <i/>
        <sz val="12"/>
        <color theme="8" tint="-0.499984740745262"/>
        <rFont val="Calibri"/>
        <family val="2"/>
      </rPr>
      <t>σ</t>
    </r>
    <r>
      <rPr>
        <vertAlign val="superscript"/>
        <sz val="12"/>
        <color theme="8" tint="-0.499984740745262"/>
        <rFont val="Times New Roman"/>
        <family val="1"/>
      </rPr>
      <t>2</t>
    </r>
    <r>
      <rPr>
        <sz val="12"/>
        <color theme="8" tint="-0.499984740745262"/>
        <rFont val="Times New Roman"/>
        <family val="1"/>
      </rPr>
      <t xml:space="preserve"> is zero.</t>
    </r>
  </si>
  <si>
    <r>
      <t>(</t>
    </r>
    <r>
      <rPr>
        <i/>
        <sz val="12"/>
        <color theme="8" tint="-0.499984740745262"/>
        <rFont val="Times New Roman"/>
        <family val="1"/>
      </rPr>
      <t>0.5 points</t>
    </r>
    <r>
      <rPr>
        <sz val="12"/>
        <color theme="8" tint="-0.499984740745262"/>
        <rFont val="Times New Roman"/>
        <family val="1"/>
      </rPr>
      <t xml:space="preserve">)  Estimate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 the scale factor.</t>
    </r>
  </si>
  <si>
    <r>
      <t>(</t>
    </r>
    <r>
      <rPr>
        <i/>
        <sz val="12"/>
        <color theme="8" tint="-0.499984740745262"/>
        <rFont val="Times New Roman"/>
        <family val="1"/>
      </rPr>
      <t>0.5 points</t>
    </r>
    <r>
      <rPr>
        <sz val="12"/>
        <color theme="8" tint="-0.499984740745262"/>
        <rFont val="Times New Roman"/>
        <family val="1"/>
      </rPr>
      <t>)  Calculate the value of the loglikelihood function at its maximum.</t>
    </r>
  </si>
  <si>
    <t>Answer in the indicated cells below</t>
  </si>
  <si>
    <r>
      <t>(</t>
    </r>
    <r>
      <rPr>
        <i/>
        <sz val="12"/>
        <color theme="8" tint="-0.499984740745262"/>
        <rFont val="Times New Roman"/>
        <family val="1"/>
      </rPr>
      <t>1 point</t>
    </r>
    <r>
      <rPr>
        <sz val="12"/>
        <color theme="8" tint="-0.499984740745262"/>
        <rFont val="Times New Roman"/>
        <family val="1"/>
      </rPr>
      <t xml:space="preserve">)  Calculate the MLEs of </t>
    </r>
    <r>
      <rPr>
        <i/>
        <sz val="12"/>
        <color theme="8" tint="-0.499984740745262"/>
        <rFont val="Times New Roman"/>
        <family val="1"/>
      </rPr>
      <t>ULT</t>
    </r>
    <r>
      <rPr>
        <sz val="12"/>
        <color theme="8" tint="-0.499984740745262"/>
        <rFont val="Times New Roman"/>
        <family val="1"/>
      </rPr>
      <t xml:space="preserve"> for each accident year.</t>
    </r>
  </si>
  <si>
    <r>
      <t xml:space="preserve">The maximum likelihood estimate (MLE) of </t>
    </r>
    <r>
      <rPr>
        <i/>
        <sz val="12"/>
        <color theme="8" tint="-0.499984740745262"/>
        <rFont val="Times New Roman"/>
        <family val="1"/>
      </rPr>
      <t>θ</t>
    </r>
    <r>
      <rPr>
        <sz val="12"/>
        <color theme="8" tint="-0.499984740745262"/>
        <rFont val="Times New Roman"/>
        <family val="1"/>
      </rPr>
      <t xml:space="preserve"> is</t>
    </r>
  </si>
  <si>
    <r>
      <rPr>
        <i/>
        <sz val="12"/>
        <color theme="8" tint="-0.499984740745262"/>
        <rFont val="Times New Roman"/>
        <family val="1"/>
      </rPr>
      <t>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xml:space="preserve">) = 1 - </t>
    </r>
    <r>
      <rPr>
        <i/>
        <sz val="12"/>
        <color theme="8" tint="-0.499984740745262"/>
        <rFont val="Times New Roman"/>
        <family val="1"/>
      </rPr>
      <t>e</t>
    </r>
    <r>
      <rPr>
        <vertAlign val="superscript"/>
        <sz val="12"/>
        <color theme="8" tint="-0.499984740745262"/>
        <rFont val="Times New Roman"/>
        <family val="1"/>
      </rPr>
      <t>-</t>
    </r>
    <r>
      <rPr>
        <i/>
        <vertAlign val="superscript"/>
        <sz val="12"/>
        <color theme="8" tint="-0.499984740745262"/>
        <rFont val="Times New Roman"/>
        <family val="1"/>
      </rPr>
      <t>x</t>
    </r>
    <r>
      <rPr>
        <vertAlign val="superscript"/>
        <sz val="12"/>
        <color theme="8" tint="-0.499984740745262"/>
        <rFont val="Times New Roman"/>
        <family val="1"/>
      </rPr>
      <t>/</t>
    </r>
    <r>
      <rPr>
        <i/>
        <vertAlign val="superscript"/>
        <sz val="12"/>
        <color theme="8" tint="-0.499984740745262"/>
        <rFont val="Times New Roman"/>
        <family val="1"/>
      </rPr>
      <t>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t>
    </r>
  </si>
  <si>
    <t>You apply Clark’s stochastic reserving model using the LDF method and an exponential distribution with cumulative distribution function</t>
  </si>
  <si>
    <t>for part (f)</t>
  </si>
  <si>
    <t>for part (c)</t>
  </si>
  <si>
    <t>for part (b)</t>
  </si>
  <si>
    <t>for part (a)</t>
  </si>
  <si>
    <t>G'(end)</t>
  </si>
  <si>
    <t>sigma sq.</t>
  </si>
  <si>
    <r>
      <t xml:space="preserve">loglikelihood
</t>
    </r>
    <r>
      <rPr>
        <b/>
        <i/>
        <sz val="12"/>
        <rFont val="Script MT Bold"/>
        <family val="4"/>
      </rPr>
      <t>l</t>
    </r>
  </si>
  <si>
    <t>G(end)</t>
  </si>
  <si>
    <t>G(begining)</t>
  </si>
  <si>
    <t>A constant term should be added to the model.</t>
  </si>
  <si>
    <t xml:space="preserve">The intercept of a line through the points is well above zero, so the assumption does not appear to be correct.  </t>
  </si>
  <si>
    <r>
      <t>(</t>
    </r>
    <r>
      <rPr>
        <i/>
        <sz val="12"/>
        <color theme="8" tint="-0.499984740745262"/>
        <rFont val="Times New Roman"/>
        <family val="1"/>
      </rPr>
      <t>1 point</t>
    </r>
    <r>
      <rPr>
        <sz val="12"/>
        <color theme="8" tint="-0.499984740745262"/>
        <rFont val="Times New Roman"/>
        <family val="1"/>
      </rPr>
      <t>)  Interpret the scatter plot in part (g) with regard to determining whether the assumption is correct.  If it is not, recommend an alternative model.</t>
    </r>
  </si>
  <si>
    <t>(h)</t>
  </si>
  <si>
    <t>y-values</t>
  </si>
  <si>
    <t>x-values</t>
  </si>
  <si>
    <t>Enter x-values and y-values in the cells indicated below. The plot will be created automatically.</t>
  </si>
  <si>
    <r>
      <t>(</t>
    </r>
    <r>
      <rPr>
        <i/>
        <sz val="12"/>
        <color theme="8" tint="-0.499984740745262"/>
        <rFont val="Times New Roman"/>
        <family val="1"/>
      </rPr>
      <t>1 point</t>
    </r>
    <r>
      <rPr>
        <sz val="12"/>
        <color theme="8" tint="-0.499984740745262"/>
        <rFont val="Times New Roman"/>
        <family val="1"/>
      </rPr>
      <t>)  Create a scatter plot to check the assumption that the expected losses at age 2 are proportional to the losses at age 1.</t>
    </r>
  </si>
  <si>
    <t>(g)</t>
  </si>
  <si>
    <t>The different number of age-to-age factors in each column results in inconsistent confidence limits among accident years.</t>
  </si>
  <si>
    <r>
      <t>(</t>
    </r>
    <r>
      <rPr>
        <i/>
        <strike/>
        <sz val="12"/>
        <color theme="8" tint="-0.499984740745262"/>
        <rFont val="Times New Roman"/>
        <family val="1"/>
      </rPr>
      <t>0.5 points</t>
    </r>
    <r>
      <rPr>
        <strike/>
        <sz val="12"/>
        <color theme="8" tint="-0.499984740745262"/>
        <rFont val="Times New Roman"/>
        <family val="1"/>
      </rPr>
      <t>)  Explain why this empirical approach to establishing confidence limits does not seem to be reasonable.</t>
    </r>
  </si>
  <si>
    <t>Use the minimum and maximum individual age-to-age factors in each column to establish minimum and maximum limits.</t>
  </si>
  <si>
    <r>
      <t>(</t>
    </r>
    <r>
      <rPr>
        <i/>
        <strike/>
        <sz val="12"/>
        <color theme="8" tint="-0.499984740745262"/>
        <rFont val="Times New Roman"/>
        <family val="1"/>
      </rPr>
      <t>0.5 points</t>
    </r>
    <r>
      <rPr>
        <strike/>
        <sz val="12"/>
        <color theme="8" tint="-0.499984740745262"/>
        <rFont val="Times New Roman"/>
        <family val="1"/>
      </rPr>
      <t>)  Explain the empirical approach to establishing confidence limits as described by Mack.</t>
    </r>
  </si>
  <si>
    <t>Overall</t>
  </si>
  <si>
    <t>Set 
Cell</t>
  </si>
  <si>
    <t>Change Cell</t>
  </si>
  <si>
    <t>90% Confidence
Limit for each AY</t>
  </si>
  <si>
    <t>Sigma^2</t>
  </si>
  <si>
    <t>Adjusted Limit</t>
  </si>
  <si>
    <t>Goal Seek</t>
  </si>
  <si>
    <r>
      <t>(</t>
    </r>
    <r>
      <rPr>
        <i/>
        <strike/>
        <sz val="12"/>
        <color theme="8" tint="-0.499984740745262"/>
        <rFont val="Times New Roman"/>
        <family val="1"/>
      </rPr>
      <t>1.5 points</t>
    </r>
    <r>
      <rPr>
        <strike/>
        <sz val="12"/>
        <color theme="8" tint="-0.499984740745262"/>
        <rFont val="Times New Roman"/>
        <family val="1"/>
      </rPr>
      <t>)  Allocate the overall amount from part (c) to accident years 2-7 in such a way to reach the same level of confidence for each accident year.  (Note: Using Excel’s Goal Seek function is an acceptable approach.)</t>
    </r>
  </si>
  <si>
    <t>90% Confidence Limit</t>
  </si>
  <si>
    <t>Sigma^2 total</t>
  </si>
  <si>
    <t>Note: 90th percentile of standard normal distribution is</t>
  </si>
  <si>
    <r>
      <t>(</t>
    </r>
    <r>
      <rPr>
        <i/>
        <strike/>
        <sz val="12"/>
        <color theme="8" tint="-0.499984740745262"/>
        <rFont val="Times New Roman"/>
        <family val="1"/>
      </rPr>
      <t>1.5 points</t>
    </r>
    <r>
      <rPr>
        <strike/>
        <sz val="12"/>
        <color theme="8" tint="-0.499984740745262"/>
        <rFont val="Times New Roman"/>
        <family val="1"/>
      </rPr>
      <t xml:space="preserve">)  Estimate the upper 90% confidence limit of the overall unpaid claims using a lognormal distribution.  </t>
    </r>
  </si>
  <si>
    <t>CoV</t>
  </si>
  <si>
    <r>
      <t>(</t>
    </r>
    <r>
      <rPr>
        <i/>
        <sz val="12"/>
        <color theme="8" tint="-0.499984740745262"/>
        <rFont val="Times New Roman"/>
        <family val="1"/>
      </rPr>
      <t>0.5 points</t>
    </r>
    <r>
      <rPr>
        <sz val="12"/>
        <color theme="8" tint="-0.499984740745262"/>
        <rFont val="Times New Roman"/>
        <family val="1"/>
      </rPr>
      <t>)  Estimate the coefficient of variation of the unpaid claims for each of  accident years 2-7 and overall.</t>
    </r>
  </si>
  <si>
    <t>S.E. AY5</t>
  </si>
  <si>
    <t>Reserve AY5</t>
  </si>
  <si>
    <t>Difference</t>
  </si>
  <si>
    <t>Computed</t>
  </si>
  <si>
    <t>Given</t>
  </si>
  <si>
    <r>
      <t>(</t>
    </r>
    <r>
      <rPr>
        <i/>
        <sz val="12"/>
        <color theme="8" tint="-0.499984740745262"/>
        <rFont val="Times New Roman"/>
        <family val="1"/>
      </rPr>
      <t>2.5 points</t>
    </r>
    <r>
      <rPr>
        <sz val="12"/>
        <color theme="8" tint="-0.499984740745262"/>
        <rFont val="Times New Roman"/>
        <family val="1"/>
      </rPr>
      <t>)  Demonstrate that the reserve and standard error for accident year 5 have been correctly calculated.</t>
    </r>
  </si>
  <si>
    <r>
      <t>f</t>
    </r>
    <r>
      <rPr>
        <i/>
        <vertAlign val="subscript"/>
        <sz val="12"/>
        <color theme="8" tint="-0.499984740745262"/>
        <rFont val="Times New Roman"/>
        <family val="1"/>
      </rPr>
      <t>k</t>
    </r>
  </si>
  <si>
    <t>Error</t>
  </si>
  <si>
    <t>Standard</t>
  </si>
  <si>
    <t>Mack’s method of estimating reserve variability is applied to this triangle.</t>
  </si>
  <si>
    <t>Parts (c)-(f) are not on the current syllabus.</t>
  </si>
  <si>
    <t>SD</t>
  </si>
  <si>
    <t>reserve</t>
  </si>
  <si>
    <t>ultimate</t>
  </si>
  <si>
    <r>
      <t>(</t>
    </r>
    <r>
      <rPr>
        <i/>
        <sz val="12"/>
        <color theme="8" tint="-0.499984740745262"/>
        <rFont val="Times New Roman"/>
        <family val="1"/>
      </rPr>
      <t>1 point</t>
    </r>
    <r>
      <rPr>
        <sz val="12"/>
        <color theme="8" tint="-0.499984740745262"/>
        <rFont val="Times New Roman"/>
        <family val="1"/>
      </rPr>
      <t>)  Estimate the scale factor,</t>
    </r>
    <r>
      <rPr>
        <sz val="14"/>
        <color theme="8" tint="-0.499984740745262"/>
        <rFont val="Times New Roman"/>
        <family val="1"/>
      </rPr>
      <t xml:space="preserve"> </t>
    </r>
    <r>
      <rPr>
        <i/>
        <sz val="14"/>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t>
    </r>
  </si>
  <si>
    <t>sigsq</t>
  </si>
  <si>
    <t>muhat</t>
  </si>
  <si>
    <t>P(G-G)</t>
  </si>
  <si>
    <t>P</t>
  </si>
  <si>
    <t>Ghigh</t>
  </si>
  <si>
    <t>Glow</t>
  </si>
  <si>
    <t>AY Tot</t>
  </si>
  <si>
    <t>Di Age</t>
  </si>
  <si>
    <t>Inc</t>
  </si>
  <si>
    <t>To</t>
  </si>
  <si>
    <t>From</t>
  </si>
  <si>
    <r>
      <t>(</t>
    </r>
    <r>
      <rPr>
        <i/>
        <sz val="12"/>
        <color theme="8" tint="-0.499984740745262"/>
        <rFont val="Times New Roman"/>
        <family val="1"/>
      </rPr>
      <t>1 point</t>
    </r>
    <r>
      <rPr>
        <sz val="12"/>
        <color theme="8" tint="-0.499984740745262"/>
        <rFont val="Times New Roman"/>
        <family val="1"/>
      </rPr>
      <t xml:space="preserve">)  Demonstrate that the MLE of </t>
    </r>
    <r>
      <rPr>
        <i/>
        <sz val="12"/>
        <color theme="8" tint="-0.499984740745262"/>
        <rFont val="Times New Roman"/>
        <family val="1"/>
      </rPr>
      <t>ELR</t>
    </r>
    <r>
      <rPr>
        <sz val="12"/>
        <color theme="8" tint="-0.499984740745262"/>
        <rFont val="Times New Roman"/>
        <family val="1"/>
      </rPr>
      <t xml:space="preserve"> is 0.5251.</t>
    </r>
  </si>
  <si>
    <r>
      <t xml:space="preserve">MLE of </t>
    </r>
    <r>
      <rPr>
        <i/>
        <sz val="12"/>
        <color theme="8" tint="-0.499984740745262"/>
        <rFont val="Times New Roman"/>
        <family val="1"/>
      </rPr>
      <t>θ</t>
    </r>
  </si>
  <si>
    <r>
      <t xml:space="preserve">The maximum likelihood estimate (MLE) of </t>
    </r>
    <r>
      <rPr>
        <i/>
        <sz val="12"/>
        <color theme="8" tint="-0.499984740745262"/>
        <rFont val="Times New Roman"/>
        <family val="1"/>
      </rPr>
      <t>θ</t>
    </r>
    <r>
      <rPr>
        <sz val="12"/>
        <color theme="8" tint="-0.499984740745262"/>
        <rFont val="Times New Roman"/>
        <family val="1"/>
      </rPr>
      <t xml:space="preserve"> is 12.3549.</t>
    </r>
  </si>
  <si>
    <r>
      <t>(</t>
    </r>
    <r>
      <rPr>
        <i/>
        <sz val="12"/>
        <color theme="8" tint="-0.499984740745262"/>
        <rFont val="Times New Roman"/>
        <family val="1"/>
      </rPr>
      <t>0.5 points</t>
    </r>
    <r>
      <rPr>
        <sz val="12"/>
        <color theme="8" tint="-0.499984740745262"/>
        <rFont val="Times New Roman"/>
        <family val="1"/>
      </rPr>
      <t xml:space="preserve">)  Describe a situation where incremental losses may </t>
    </r>
    <r>
      <rPr>
        <u/>
        <sz val="12"/>
        <color theme="8" tint="-0.499984740745262"/>
        <rFont val="Times New Roman"/>
        <family val="1"/>
      </rPr>
      <t>not</t>
    </r>
    <r>
      <rPr>
        <sz val="12"/>
        <color theme="8" tint="-0.499984740745262"/>
        <rFont val="Times New Roman"/>
        <family val="1"/>
      </rPr>
      <t xml:space="preserve"> be identically distributed.</t>
    </r>
  </si>
  <si>
    <r>
      <t>(</t>
    </r>
    <r>
      <rPr>
        <i/>
        <sz val="12"/>
        <color theme="8" tint="-0.499984740745262"/>
        <rFont val="Times New Roman"/>
        <family val="1"/>
      </rPr>
      <t>0.5 points</t>
    </r>
    <r>
      <rPr>
        <sz val="12"/>
        <color theme="8" tint="-0.499984740745262"/>
        <rFont val="Times New Roman"/>
        <family val="1"/>
      </rPr>
      <t xml:space="preserve">)  Describe a situation where incremental losses may </t>
    </r>
    <r>
      <rPr>
        <u/>
        <sz val="12"/>
        <color theme="8" tint="-0.499984740745262"/>
        <rFont val="Times New Roman"/>
        <family val="1"/>
      </rPr>
      <t>not</t>
    </r>
    <r>
      <rPr>
        <sz val="12"/>
        <color theme="8" tint="-0.499984740745262"/>
        <rFont val="Times New Roman"/>
        <family val="1"/>
      </rPr>
      <t xml:space="preserve"> be independent. </t>
    </r>
  </si>
  <si>
    <t>Clark also assumes that the incremental losses are independent and identically distributed.</t>
  </si>
  <si>
    <r>
      <t>(</t>
    </r>
    <r>
      <rPr>
        <i/>
        <sz val="12"/>
        <color theme="8" tint="-0.499984740745262"/>
        <rFont val="Times New Roman"/>
        <family val="1"/>
      </rPr>
      <t>1 point</t>
    </r>
    <r>
      <rPr>
        <sz val="12"/>
        <color theme="8" tint="-0.499984740745262"/>
        <rFont val="Times New Roman"/>
        <family val="1"/>
      </rPr>
      <t>)  State two advantages of using the overdispersed Poisson distribution as opposed to the Poisson distribution.</t>
    </r>
  </si>
  <si>
    <t>Clark assumes that the incremental loss emergence follows an overdispersed Poisson distribution.</t>
  </si>
  <si>
    <r>
      <t>distribution function</t>
    </r>
    <r>
      <rPr>
        <i/>
        <sz val="12"/>
        <color theme="8" tint="-0.499984740745262"/>
        <rFont val="Times New Roman"/>
        <family val="1"/>
      </rPr>
      <t xml:space="preserve"> 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 1 - e</t>
    </r>
    <r>
      <rPr>
        <vertAlign val="superscript"/>
        <sz val="12"/>
        <color theme="8" tint="-0.499984740745262"/>
        <rFont val="Times New Roman"/>
        <family val="1"/>
      </rPr>
      <t>-</t>
    </r>
    <r>
      <rPr>
        <i/>
        <vertAlign val="superscript"/>
        <sz val="12"/>
        <color theme="8" tint="-0.499984740745262"/>
        <rFont val="Times New Roman"/>
        <family val="1"/>
      </rPr>
      <t>x</t>
    </r>
    <r>
      <rPr>
        <vertAlign val="superscript"/>
        <sz val="12"/>
        <color theme="8" tint="-0.499984740745262"/>
        <rFont val="Times New Roman"/>
        <family val="1"/>
      </rPr>
      <t>/</t>
    </r>
    <r>
      <rPr>
        <i/>
        <vertAlign val="superscript"/>
        <sz val="12"/>
        <color theme="8" tint="-0.499984740745262"/>
        <rFont val="Times New Roman"/>
        <family val="1"/>
      </rPr>
      <t>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t>
    </r>
  </si>
  <si>
    <t>You apply Clark’s stochastic reserving model using the Cape Cod method and an exponential distribution with cumulative</t>
  </si>
  <si>
    <t>Responses for parts (a), (b) and (c) are to be provided in the Word document.</t>
  </si>
  <si>
    <t>The slight change in this parameter will lead to small changes in the MLEs of the other parameters. As a result, the numerator of the scale factor will be similar. However, the denominator will change from 4 to 5, leading to a significant reduction.</t>
  </si>
  <si>
    <r>
      <t>(</t>
    </r>
    <r>
      <rPr>
        <i/>
        <sz val="12"/>
        <color theme="8" tint="-0.499984740745262"/>
        <rFont val="Times New Roman"/>
        <family val="1"/>
      </rPr>
      <t>1 point</t>
    </r>
    <r>
      <rPr>
        <sz val="12"/>
        <color theme="8" tint="-0.499984740745262"/>
        <rFont val="Times New Roman"/>
        <family val="1"/>
      </rPr>
      <t>)  Explain why this reduction is to be expected.</t>
    </r>
  </si>
  <si>
    <r>
      <t xml:space="preserve">A likelihood ratio test indicates that </t>
    </r>
    <r>
      <rPr>
        <i/>
        <sz val="12"/>
        <color theme="8" tint="-0.499984740745262"/>
        <rFont val="Times New Roman"/>
        <family val="1"/>
      </rPr>
      <t>ω</t>
    </r>
    <r>
      <rPr>
        <sz val="12"/>
        <color theme="8" tint="-0.499984740745262"/>
        <rFont val="Times New Roman"/>
        <family val="1"/>
      </rPr>
      <t>=1 is a plausible value.  Using this value and re-estimating the other parameters leads to a significant reduction in the estimated scale factor.</t>
    </r>
  </si>
  <si>
    <t>Process Standard Deviation</t>
  </si>
  <si>
    <t>AY Paid</t>
  </si>
  <si>
    <t>estimate of scale factor</t>
  </si>
  <si>
    <t>G(at the end of the interval)</t>
  </si>
  <si>
    <t>G(at the start of the interval)</t>
  </si>
  <si>
    <r>
      <t>(</t>
    </r>
    <r>
      <rPr>
        <i/>
        <sz val="12"/>
        <color theme="8" tint="-0.499984740745262"/>
        <rFont val="Times New Roman"/>
        <family val="1"/>
      </rPr>
      <t>1 point</t>
    </r>
    <r>
      <rPr>
        <sz val="12"/>
        <color theme="8" tint="-0.499984740745262"/>
        <rFont val="Times New Roman"/>
        <family val="1"/>
      </rPr>
      <t xml:space="preserve">)  </t>
    </r>
  </si>
  <si>
    <r>
      <t>ULT</t>
    </r>
    <r>
      <rPr>
        <b/>
        <i/>
        <vertAlign val="subscript"/>
        <sz val="12"/>
        <color theme="1"/>
        <rFont val="Times New Roman"/>
        <family val="1"/>
      </rPr>
      <t>2022</t>
    </r>
  </si>
  <si>
    <r>
      <t>ULT</t>
    </r>
    <r>
      <rPr>
        <b/>
        <i/>
        <vertAlign val="subscript"/>
        <sz val="12"/>
        <color theme="1"/>
        <rFont val="Times New Roman"/>
        <family val="1"/>
      </rPr>
      <t>2021</t>
    </r>
  </si>
  <si>
    <r>
      <t>ULT</t>
    </r>
    <r>
      <rPr>
        <b/>
        <i/>
        <vertAlign val="subscript"/>
        <sz val="12"/>
        <color theme="1"/>
        <rFont val="Times New Roman"/>
        <family val="1"/>
      </rPr>
      <t>2020</t>
    </r>
  </si>
  <si>
    <r>
      <t>ULT</t>
    </r>
    <r>
      <rPr>
        <b/>
        <i/>
        <vertAlign val="subscript"/>
        <sz val="12"/>
        <color theme="1"/>
        <rFont val="Times New Roman"/>
        <family val="1"/>
      </rPr>
      <t>2019</t>
    </r>
  </si>
  <si>
    <t>ULT MLE by AY</t>
  </si>
  <si>
    <r>
      <t xml:space="preserve">MLE of </t>
    </r>
    <r>
      <rPr>
        <i/>
        <sz val="12"/>
        <color theme="8" tint="-0.499984740745262"/>
        <rFont val="Times New Roman"/>
        <family val="1"/>
      </rPr>
      <t>ω</t>
    </r>
    <r>
      <rPr>
        <sz val="13.2"/>
        <color theme="8" tint="-0.499984740745262"/>
        <rFont val="Times New Roman"/>
        <family val="1"/>
      </rPr>
      <t xml:space="preserve"> </t>
    </r>
  </si>
  <si>
    <r>
      <t>(</t>
    </r>
    <r>
      <rPr>
        <i/>
        <sz val="12"/>
        <color theme="8" tint="-0.499984740745262"/>
        <rFont val="Times New Roman"/>
        <family val="1"/>
      </rPr>
      <t>2 points</t>
    </r>
    <r>
      <rPr>
        <sz val="12"/>
        <color theme="8" tint="-0.499984740745262"/>
        <rFont val="Times New Roman"/>
        <family val="1"/>
      </rPr>
      <t xml:space="preserve">)  Calculate the maximum likelihood estimates of </t>
    </r>
    <r>
      <rPr>
        <i/>
        <sz val="12"/>
        <color theme="8" tint="-0.499984740745262"/>
        <rFont val="Times New Roman"/>
        <family val="1"/>
      </rPr>
      <t>ULT</t>
    </r>
    <r>
      <rPr>
        <sz val="12"/>
        <color theme="8" tint="-0.499984740745262"/>
        <rFont val="Times New Roman"/>
        <family val="1"/>
      </rPr>
      <t xml:space="preserve"> for each of the four accident years.</t>
    </r>
  </si>
  <si>
    <r>
      <t xml:space="preserve">MLE of </t>
    </r>
    <r>
      <rPr>
        <i/>
        <sz val="12"/>
        <color theme="8" tint="-0.499984740745262"/>
        <rFont val="Times New Roman"/>
        <family val="1"/>
      </rPr>
      <t>θ</t>
    </r>
    <r>
      <rPr>
        <sz val="12"/>
        <color theme="8" tint="-0.499984740745262"/>
        <rFont val="Times New Roman"/>
        <family val="1"/>
      </rPr>
      <t xml:space="preserve"> </t>
    </r>
  </si>
  <si>
    <r>
      <t xml:space="preserve">The maximum likelihood estimate (MLE) of </t>
    </r>
    <r>
      <rPr>
        <i/>
        <sz val="12"/>
        <color theme="8" tint="-0.499984740745262"/>
        <rFont val="Times New Roman"/>
        <family val="1"/>
      </rPr>
      <t>θ</t>
    </r>
    <r>
      <rPr>
        <sz val="12"/>
        <color theme="8" tint="-0.499984740745262"/>
        <rFont val="Times New Roman"/>
        <family val="1"/>
      </rPr>
      <t xml:space="preserve"> is 6.8410 and of</t>
    </r>
    <r>
      <rPr>
        <i/>
        <sz val="12"/>
        <color theme="8" tint="-0.499984740745262"/>
        <rFont val="Times New Roman"/>
        <family val="1"/>
      </rPr>
      <t xml:space="preserve"> ω</t>
    </r>
    <r>
      <rPr>
        <sz val="13.2"/>
        <color theme="8" tint="-0.499984740745262"/>
        <rFont val="Times New Roman"/>
        <family val="1"/>
      </rPr>
      <t xml:space="preserve"> is 0.9804</t>
    </r>
    <r>
      <rPr>
        <sz val="12"/>
        <color theme="8" tint="-0.499984740745262"/>
        <rFont val="Times New Roman"/>
        <family val="1"/>
      </rPr>
      <t>.</t>
    </r>
  </si>
  <si>
    <t>•	The Cape Cod method requires that fewer parameters be estimated.
•	The Cape Cod method uses the information in the exposure base.</t>
  </si>
  <si>
    <r>
      <t>(</t>
    </r>
    <r>
      <rPr>
        <i/>
        <sz val="12"/>
        <color theme="8" tint="-0.499984740745262"/>
        <rFont val="Times New Roman"/>
        <family val="1"/>
      </rPr>
      <t>1 point</t>
    </r>
    <r>
      <rPr>
        <sz val="12"/>
        <color theme="8" tint="-0.499984740745262"/>
        <rFont val="Times New Roman"/>
        <family val="1"/>
      </rPr>
      <t>)  State two reasons why this is the case.</t>
    </r>
  </si>
  <si>
    <t xml:space="preserve">Clark states “The Cape Cod method … will usually produce a significantly smaller estimation error [than the LDF method].” </t>
  </si>
  <si>
    <r>
      <t xml:space="preserve">distribution function </t>
    </r>
    <r>
      <rPr>
        <i/>
        <sz val="12"/>
        <color theme="8" tint="-0.499984740745262"/>
        <rFont val="Times New Roman"/>
        <family val="1"/>
      </rPr>
      <t>G(x)</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ω</t>
    </r>
    <r>
      <rPr>
        <sz val="12"/>
        <color theme="8" tint="-0.499984740745262"/>
        <rFont val="Times New Roman"/>
        <family val="1"/>
      </rPr>
      <t xml:space="preserve"> / (</t>
    </r>
    <r>
      <rPr>
        <i/>
        <sz val="12"/>
        <color theme="8" tint="-0.499984740745262"/>
        <rFont val="Times New Roman"/>
        <family val="1"/>
      </rPr>
      <t>x</t>
    </r>
    <r>
      <rPr>
        <i/>
        <vertAlign val="superscript"/>
        <sz val="12"/>
        <color theme="8" tint="-0.499984740745262"/>
        <rFont val="Times New Roman"/>
        <family val="1"/>
      </rPr>
      <t>ω</t>
    </r>
    <r>
      <rPr>
        <sz val="12"/>
        <color theme="8" tint="-0.499984740745262"/>
        <rFont val="Times New Roman"/>
        <family val="1"/>
      </rPr>
      <t xml:space="preserve"> + </t>
    </r>
    <r>
      <rPr>
        <i/>
        <sz val="12"/>
        <color theme="8" tint="-0.499984740745262"/>
        <rFont val="Times New Roman"/>
        <family val="1"/>
      </rPr>
      <t>θ</t>
    </r>
    <r>
      <rPr>
        <i/>
        <vertAlign val="superscript"/>
        <sz val="12"/>
        <color theme="8" tint="-0.499984740745262"/>
        <rFont val="Times New Roman"/>
        <family val="1"/>
      </rPr>
      <t>ω</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 </t>
    </r>
  </si>
  <si>
    <t>You apply Clark’s stochastic reserving model using the LDF method and a loglogistic distribution with cumulative</t>
  </si>
  <si>
    <r>
      <t>(</t>
    </r>
    <r>
      <rPr>
        <i/>
        <sz val="12"/>
        <color theme="8" tint="-0.499984740745262"/>
        <rFont val="Times New Roman"/>
        <family val="1"/>
      </rPr>
      <t>6 points</t>
    </r>
    <r>
      <rPr>
        <sz val="12"/>
        <color theme="8" tint="-0.499984740745262"/>
        <rFont val="Times New Roman"/>
        <family val="1"/>
      </rPr>
      <t>)  You are given the following data extracted from a triangle of cumulative paid losses:</t>
    </r>
  </si>
  <si>
    <t>The "linear model plus constant" model is more appropriate when both terms are significant.</t>
  </si>
  <si>
    <r>
      <t>(</t>
    </r>
    <r>
      <rPr>
        <i/>
        <strike/>
        <sz val="12"/>
        <color rgb="FF002060"/>
        <rFont val="Times New Roman"/>
        <family val="1"/>
      </rPr>
      <t>1 point</t>
    </r>
    <r>
      <rPr>
        <strike/>
        <sz val="12"/>
        <color rgb="FF002060"/>
        <rFont val="Times New Roman"/>
        <family val="1"/>
      </rPr>
      <t>) Propose an alternative model that is more consistent with the results of the regression analysis in part (e).</t>
    </r>
  </si>
  <si>
    <t>The intercept is not zero for DY2 because it is more than double the standard error. This violates Mack's assumption because it is significant. For DY1, the intercept is nearly significant at 1.6 standard deviations. This is a borderline violation of Mack's assumption.
The slopes are clearly not zero for D1 to D3, which supports Mack's assumption.</t>
  </si>
  <si>
    <r>
      <t>(</t>
    </r>
    <r>
      <rPr>
        <i/>
        <strike/>
        <sz val="12"/>
        <color rgb="FF002060"/>
        <rFont val="Times New Roman"/>
        <family val="1"/>
      </rPr>
      <t>1 point</t>
    </r>
    <r>
      <rPr>
        <strike/>
        <sz val="12"/>
        <color rgb="FF002060"/>
        <rFont val="Times New Roman"/>
        <family val="1"/>
      </rPr>
      <t>) Determine the validity of the assumptions underlying the CL estimates based upon the results of the regression analysis in part (e). Justify your determination.</t>
    </r>
  </si>
  <si>
    <t>slope</t>
  </si>
  <si>
    <t>intercept</t>
  </si>
  <si>
    <t>standard error</t>
  </si>
  <si>
    <t>estimate</t>
  </si>
  <si>
    <t>DY3</t>
  </si>
  <si>
    <t>DY2</t>
  </si>
  <si>
    <t>DY1</t>
  </si>
  <si>
    <t>Do not edit these cells</t>
  </si>
  <si>
    <t>DY 3</t>
  </si>
  <si>
    <t>DY 2</t>
  </si>
  <si>
    <t>DY 1</t>
  </si>
  <si>
    <t xml:space="preserve">The Excel function LINEST will automatically perform the regression analysis when values are input in the appropriate spaces below. </t>
  </si>
  <si>
    <r>
      <t>(</t>
    </r>
    <r>
      <rPr>
        <i/>
        <strike/>
        <sz val="12"/>
        <color rgb="FF002060"/>
        <rFont val="Times New Roman"/>
        <family val="1"/>
      </rPr>
      <t>0.5 points</t>
    </r>
    <r>
      <rPr>
        <strike/>
        <sz val="12"/>
        <color rgb="FF002060"/>
        <rFont val="Times New Roman"/>
        <family val="1"/>
      </rPr>
      <t>) Input the appropriate values to perform this regression analysis.</t>
    </r>
  </si>
  <si>
    <t>Venter proposes an alternative test that involves age-to-age factors. His test is to perform a regression on the increments versus the prior cumulative value.</t>
  </si>
  <si>
    <r>
      <rPr>
        <i/>
        <strike/>
        <sz val="11"/>
        <rFont val="Times New Roman"/>
        <family val="1"/>
      </rPr>
      <t>Let C(i,k) denote the accumulated total claims amount of accident year i up to development year k.</t>
    </r>
    <r>
      <rPr>
        <strike/>
        <sz val="12"/>
        <rFont val="Times New Roman"/>
        <family val="1"/>
      </rPr>
      <t xml:space="preserve">
f</t>
    </r>
    <r>
      <rPr>
        <strike/>
        <vertAlign val="subscript"/>
        <sz val="12"/>
        <rFont val="Times New Roman"/>
        <family val="1"/>
      </rPr>
      <t>k0</t>
    </r>
    <r>
      <rPr>
        <strike/>
        <sz val="12"/>
        <rFont val="Times New Roman"/>
        <family val="1"/>
      </rPr>
      <t xml:space="preserve"> is the C(i,k) squared weighted average of the individual development factors</t>
    </r>
  </si>
  <si>
    <r>
      <t>(</t>
    </r>
    <r>
      <rPr>
        <i/>
        <strike/>
        <sz val="12"/>
        <color rgb="FF002060"/>
        <rFont val="Times New Roman"/>
        <family val="1"/>
      </rPr>
      <t>0.5 points</t>
    </r>
    <r>
      <rPr>
        <strike/>
        <sz val="12"/>
        <color rgb="FF002060"/>
        <rFont val="Times New Roman"/>
        <family val="1"/>
      </rPr>
      <t>) State one of these alternatives. Do not do any calculations.</t>
    </r>
  </si>
  <si>
    <t xml:space="preserve">Assume that the scatterplots indicate that the assumptions are not valid. Mack provides two other formulas for calculating age-to-age factors that could be tested. </t>
  </si>
  <si>
    <t>The first set of charts from part (b)(i) looks good, but that is mostly due to scale. However, the line should be through the origin which is not the case here.
The second set from part (b)(ii) shows a pattern of residuals that are negative, then positive. Therefore, the assumptions are not valid.</t>
  </si>
  <si>
    <r>
      <t>(</t>
    </r>
    <r>
      <rPr>
        <i/>
        <sz val="12"/>
        <color rgb="FF002060"/>
        <rFont val="Times New Roman"/>
        <family val="1"/>
      </rPr>
      <t>1 point</t>
    </r>
    <r>
      <rPr>
        <sz val="12"/>
        <color rgb="FF002060"/>
        <rFont val="Times New Roman"/>
        <family val="1"/>
      </rPr>
      <t>) Determine the validity of the assumptions underlying the CL estimates based upon part (b). Justify your determination.</t>
    </r>
  </si>
  <si>
    <t>Residuals</t>
  </si>
  <si>
    <t>DY 3 vs Residuals</t>
  </si>
  <si>
    <t>DY 2 vs Residuals</t>
  </si>
  <si>
    <t>DY 1 vs Residuals</t>
  </si>
  <si>
    <t>The scatterplots will be completed automatically when values are input into the appropriate spaces below.</t>
  </si>
  <si>
    <t>Weighted residuals versus values from the previous DY</t>
  </si>
  <si>
    <t>(ii)</t>
  </si>
  <si>
    <t>DY4</t>
  </si>
  <si>
    <t>DY 3 development</t>
  </si>
  <si>
    <t>DY 2 development</t>
  </si>
  <si>
    <t>DY 1 development</t>
  </si>
  <si>
    <t>Development along with a fitted regression line</t>
  </si>
  <si>
    <t>(i)</t>
  </si>
  <si>
    <r>
      <t>(</t>
    </r>
    <r>
      <rPr>
        <i/>
        <sz val="12"/>
        <color rgb="FF002060"/>
        <rFont val="Times New Roman"/>
        <family val="1"/>
      </rPr>
      <t>2 points</t>
    </r>
    <r>
      <rPr>
        <sz val="12"/>
        <color rgb="FF002060"/>
        <rFont val="Times New Roman"/>
        <family val="1"/>
      </rPr>
      <t>) Construct the following scatterplots for each of DYs 1 to 3:</t>
    </r>
  </si>
  <si>
    <t>Mack suggests two plots that can be used to check the validity of the assumptions underlying the chain ladder (CL) estimates.</t>
  </si>
  <si>
    <t>DY</t>
  </si>
  <si>
    <t>Estimated developed values for each DY (starting with DY 2) for which there are observed values</t>
  </si>
  <si>
    <t>Age-to-age factors</t>
  </si>
  <si>
    <r>
      <t>(</t>
    </r>
    <r>
      <rPr>
        <i/>
        <sz val="12"/>
        <color rgb="FF002060"/>
        <rFont val="Times New Roman"/>
        <family val="1"/>
      </rPr>
      <t>2 points</t>
    </r>
    <r>
      <rPr>
        <sz val="12"/>
        <color rgb="FF002060"/>
        <rFont val="Times New Roman"/>
        <family val="1"/>
      </rPr>
      <t>)  Calculate the following amounts:</t>
    </r>
  </si>
  <si>
    <t/>
  </si>
  <si>
    <t>Development Year (DY)</t>
  </si>
  <si>
    <t>Accident Year (AY)</t>
  </si>
  <si>
    <t>It is assumed that all claims are fully developed after ten years.</t>
  </si>
  <si>
    <r>
      <t>(</t>
    </r>
    <r>
      <rPr>
        <i/>
        <sz val="12"/>
        <color rgb="FF002060"/>
        <rFont val="Times New Roman"/>
        <family val="1"/>
      </rPr>
      <t>8 points</t>
    </r>
    <r>
      <rPr>
        <sz val="12"/>
        <color rgb="FF002060"/>
        <rFont val="Times New Roman"/>
        <family val="1"/>
      </rPr>
      <t>)  You are interested in determining the variability of unpaid claim estimates. The triangle of paid claims data is presented below.</t>
    </r>
  </si>
  <si>
    <t>Parts (d) to (g) are not on the current syllabus.</t>
  </si>
  <si>
    <t>Normalized Residuals by Months of Development</t>
  </si>
  <si>
    <t>For these reasons, I recommend the loglogistic model.</t>
  </si>
  <si>
    <t>However, the loglogistic model scale factor test statistic indicates the best fit.</t>
  </si>
  <si>
    <t xml:space="preserve">Additionally, both the gamma and loglogistic models are reasonable by both the test statistic and the graph of residuals. </t>
  </si>
  <si>
    <t xml:space="preserve">Overall, the Weibull model is easily rejected by both the test statistic and the graph of residuals. </t>
  </si>
  <si>
    <t>This would indicate that Weibull model is a poor fit, and the gamma and loglogistic models fit the data reasonably well.</t>
  </si>
  <si>
    <t xml:space="preserve">The gamma and loglogistic graphs appear to have a more horizontal pattern. </t>
  </si>
  <si>
    <t xml:space="preserve">Reviewing the three graphs of residuals, the Weibull graph indicates a slightly increasing pattern. </t>
  </si>
  <si>
    <r>
      <rPr>
        <b/>
        <i/>
        <sz val="12"/>
        <color rgb="FF002060"/>
        <rFont val="Symbol"/>
        <family val="1"/>
        <charset val="2"/>
      </rPr>
      <t>s</t>
    </r>
    <r>
      <rPr>
        <b/>
        <i/>
        <vertAlign val="superscript"/>
        <sz val="12"/>
        <color rgb="FF002060"/>
        <rFont val="Times New Roman"/>
        <family val="1"/>
      </rPr>
      <t xml:space="preserve"> 2</t>
    </r>
  </si>
  <si>
    <t>q</t>
  </si>
  <si>
    <t>a</t>
  </si>
  <si>
    <t>The following graphs plot the normalized residuals for each model against months of development.</t>
  </si>
  <si>
    <t>The plot for a good model fit should not have a rising or decreasing pattern.</t>
  </si>
  <si>
    <t>A graph of the the normalized residuals against the development period can give a visual check for model fit.</t>
  </si>
  <si>
    <t>As such, the gamma and loglogistic models have a better fit to the data.</t>
  </si>
  <si>
    <t>The scale value of the Weibull model is considerably larger than the scale value for both the gamma and loglogistic models.</t>
  </si>
  <si>
    <t>The lower the scale value, the better a model fits the dataset.</t>
  </si>
  <si>
    <t>lowest scale statistic</t>
  </si>
  <si>
    <t>Loglogistic</t>
  </si>
  <si>
    <t>Gamma</t>
  </si>
  <si>
    <t>highest scale statistic</t>
  </si>
  <si>
    <t>Weibull</t>
  </si>
  <si>
    <t>Scale</t>
  </si>
  <si>
    <t>Model</t>
  </si>
  <si>
    <t>The following table shows the scale fit statistics:</t>
  </si>
  <si>
    <t>Your numerical calculation(s) and graph(s) may be provided below or to the right of the loss data.</t>
  </si>
  <si>
    <t>Answer in the space below for your recommendation and its justification.</t>
  </si>
  <si>
    <t xml:space="preserve">Justify your recommendation including one numerical and one graphical argument. </t>
  </si>
  <si>
    <r>
      <t>(</t>
    </r>
    <r>
      <rPr>
        <i/>
        <sz val="12"/>
        <color rgb="FF002060"/>
        <rFont val="Times New Roman"/>
        <family val="1"/>
      </rPr>
      <t>4 points</t>
    </r>
    <r>
      <rPr>
        <sz val="12"/>
        <color rgb="FF002060"/>
        <rFont val="Times New Roman"/>
        <family val="1"/>
      </rPr>
      <t xml:space="preserve">)  Recommend which of the three distributions should be used based upon fit to the data. </t>
    </r>
  </si>
  <si>
    <r>
      <t xml:space="preserve">In addition to providing the data, this tab also has the calculations for fitting all three distributions as well as the calculation of the scale factor estimate, </t>
    </r>
    <r>
      <rPr>
        <i/>
        <sz val="12"/>
        <color rgb="FF002060"/>
        <rFont val="Symbol"/>
        <family val="1"/>
        <charset val="2"/>
      </rPr>
      <t>s</t>
    </r>
    <r>
      <rPr>
        <vertAlign val="superscript"/>
        <sz val="12"/>
        <color rgb="FF002060"/>
        <rFont val="Times New Roman"/>
        <family val="1"/>
      </rPr>
      <t>2</t>
    </r>
    <r>
      <rPr>
        <sz val="12"/>
        <color rgb="FF002060"/>
        <rFont val="Times New Roman"/>
        <family val="1"/>
      </rPr>
      <t xml:space="preserve">. 
</t>
    </r>
    <r>
      <rPr>
        <i/>
        <sz val="12"/>
        <color rgb="FF002060"/>
        <rFont val="Times New Roman"/>
        <family val="1"/>
      </rPr>
      <t>These calculations are to the right of the data in cells W4 to AQ44.</t>
    </r>
  </si>
  <si>
    <t xml:space="preserve">The gamma distribution is light-tailed and may not fit a typical development pattern. </t>
  </si>
  <si>
    <r>
      <t>(</t>
    </r>
    <r>
      <rPr>
        <i/>
        <sz val="12"/>
        <color rgb="FF002060"/>
        <rFont val="Times New Roman"/>
        <family val="1"/>
      </rPr>
      <t>0.5 points</t>
    </r>
    <r>
      <rPr>
        <sz val="12"/>
        <color rgb="FF002060"/>
        <rFont val="Times New Roman"/>
        <family val="1"/>
      </rPr>
      <t>)  Explain why the gamma distribution may not be the most reasonable choice.</t>
    </r>
  </si>
  <si>
    <t>Any distribution that places probability from zero to infinity can be used. It will meet the requirement of increasing development.</t>
  </si>
  <si>
    <r>
      <t>(</t>
    </r>
    <r>
      <rPr>
        <i/>
        <sz val="12"/>
        <color rgb="FF002060"/>
        <rFont val="Times New Roman"/>
        <family val="1"/>
      </rPr>
      <t>0.5 points</t>
    </r>
    <r>
      <rPr>
        <sz val="12"/>
        <color rgb="FF002060"/>
        <rFont val="Times New Roman"/>
        <family val="1"/>
      </rPr>
      <t>)  Explain why the gamma distribution is also appropriate for use in Clark’s model.</t>
    </r>
  </si>
  <si>
    <t>Clark discusses two distributions, Weibull and loglogistic, as being appropriate for development modeling.</t>
  </si>
  <si>
    <r>
      <t>·</t>
    </r>
    <r>
      <rPr>
        <sz val="7"/>
        <color theme="4" tint="-0.499984740745262"/>
        <rFont val="Times New Roman"/>
        <family val="1"/>
      </rPr>
      <t xml:space="preserve">       </t>
    </r>
    <r>
      <rPr>
        <sz val="12"/>
        <color theme="4" tint="-0.499984740745262"/>
        <rFont val="Times New Roman"/>
        <family val="1"/>
      </rPr>
      <t>Loglogistic.</t>
    </r>
  </si>
  <si>
    <r>
      <t>·</t>
    </r>
    <r>
      <rPr>
        <sz val="7"/>
        <color theme="4" tint="-0.499984740745262"/>
        <rFont val="Times New Roman"/>
        <family val="1"/>
      </rPr>
      <t xml:space="preserve">       </t>
    </r>
    <r>
      <rPr>
        <sz val="12"/>
        <color theme="4" tint="-0.499984740745262"/>
        <rFont val="Times New Roman"/>
        <family val="1"/>
      </rPr>
      <t>Gamma; and</t>
    </r>
  </si>
  <si>
    <r>
      <t>·</t>
    </r>
    <r>
      <rPr>
        <sz val="7"/>
        <color theme="4" tint="-0.499984740745262"/>
        <rFont val="Times New Roman"/>
        <family val="1"/>
      </rPr>
      <t xml:space="preserve">       </t>
    </r>
    <r>
      <rPr>
        <sz val="12"/>
        <color theme="4" tint="-0.499984740745262"/>
        <rFont val="Times New Roman"/>
        <family val="1"/>
      </rPr>
      <t>Weibull;</t>
    </r>
  </si>
  <si>
    <t>You plan to apply Clark’s stochastic reserving model using the Cape Cod method and are considering the following three distributions:</t>
  </si>
  <si>
    <t>Normalized residuals</t>
  </si>
  <si>
    <t>Months Dev</t>
  </si>
  <si>
    <r>
      <t xml:space="preserve">Calculation of </t>
    </r>
    <r>
      <rPr>
        <b/>
        <i/>
        <sz val="10"/>
        <color rgb="FF002060"/>
        <rFont val="Symbol"/>
        <family val="1"/>
        <charset val="2"/>
      </rPr>
      <t>s</t>
    </r>
    <r>
      <rPr>
        <b/>
        <vertAlign val="superscript"/>
        <sz val="10"/>
        <color rgb="FF002060"/>
        <rFont val="Times New Roman"/>
        <family val="1"/>
      </rPr>
      <t xml:space="preserve"> 2</t>
    </r>
  </si>
  <si>
    <t>loglikelihood</t>
  </si>
  <si>
    <t>mu-hat</t>
  </si>
  <si>
    <t>G(to)</t>
  </si>
  <si>
    <t>G(from)</t>
  </si>
  <si>
    <r>
      <t>(</t>
    </r>
    <r>
      <rPr>
        <i/>
        <sz val="12"/>
        <color rgb="FF002060"/>
        <rFont val="Times New Roman"/>
        <family val="1"/>
      </rPr>
      <t>5 points</t>
    </r>
    <r>
      <rPr>
        <sz val="12"/>
        <color rgb="FF002060"/>
        <rFont val="Times New Roman"/>
        <family val="1"/>
      </rPr>
      <t>)  You have been provided data extracted from a triangle of cumulative paid losses. You are also provided with a set of onlevel premiums. 
The data are provided in this tab in cells O4 to U40.</t>
    </r>
  </si>
  <si>
    <t>Maximization of Likelihood Function - loglogistic distribution</t>
  </si>
  <si>
    <t>Maximization of Likelihood Function - gamma distribution</t>
  </si>
  <si>
    <t>Maximization of Likelihood Function - Weibull distribution</t>
  </si>
  <si>
    <t>Paid Loss Data</t>
  </si>
  <si>
    <t>Premium Data</t>
  </si>
  <si>
    <t>includes a calendar year effect</t>
  </si>
  <si>
    <t>f(d)h(w)g(w + d)</t>
  </si>
  <si>
    <r>
      <t>Formula 3: E[</t>
    </r>
    <r>
      <rPr>
        <i/>
        <strike/>
        <sz val="12"/>
        <color theme="1"/>
        <rFont val="Times New Roman"/>
        <family val="1"/>
      </rPr>
      <t>q</t>
    </r>
    <r>
      <rPr>
        <strike/>
        <sz val="12"/>
        <color theme="1"/>
        <rFont val="Times New Roman"/>
        <family val="1"/>
      </rPr>
      <t>(</t>
    </r>
    <r>
      <rPr>
        <i/>
        <strike/>
        <sz val="12"/>
        <color theme="1"/>
        <rFont val="Times New Roman"/>
        <family val="1"/>
      </rPr>
      <t>w</t>
    </r>
    <r>
      <rPr>
        <strike/>
        <sz val="12"/>
        <color theme="1"/>
        <rFont val="Times New Roman"/>
        <family val="1"/>
      </rPr>
      <t xml:space="preserve">, </t>
    </r>
    <r>
      <rPr>
        <i/>
        <strike/>
        <sz val="12"/>
        <color theme="1"/>
        <rFont val="Times New Roman"/>
        <family val="1"/>
      </rPr>
      <t>d</t>
    </r>
    <r>
      <rPr>
        <strike/>
        <sz val="12"/>
        <color theme="1"/>
        <rFont val="Times New Roman"/>
        <family val="1"/>
      </rPr>
      <t xml:space="preserve"> + 1) | data to </t>
    </r>
    <r>
      <rPr>
        <i/>
        <strike/>
        <sz val="12"/>
        <color theme="1"/>
        <rFont val="Times New Roman"/>
        <family val="1"/>
      </rPr>
      <t>w</t>
    </r>
    <r>
      <rPr>
        <strike/>
        <sz val="12"/>
        <color theme="1"/>
        <rFont val="Times New Roman"/>
        <family val="1"/>
      </rPr>
      <t xml:space="preserve"> + </t>
    </r>
    <r>
      <rPr>
        <i/>
        <strike/>
        <sz val="12"/>
        <color theme="1"/>
        <rFont val="Times New Roman"/>
        <family val="1"/>
      </rPr>
      <t>d</t>
    </r>
    <r>
      <rPr>
        <strike/>
        <sz val="12"/>
        <color theme="1"/>
        <rFont val="Times New Roman"/>
        <family val="1"/>
      </rPr>
      <t xml:space="preserve">] = </t>
    </r>
  </si>
  <si>
    <t>factor times parameter\</t>
  </si>
  <si>
    <t>f(d)h(d)</t>
  </si>
  <si>
    <r>
      <t>Formula 2: E[</t>
    </r>
    <r>
      <rPr>
        <i/>
        <strike/>
        <sz val="12"/>
        <color theme="1"/>
        <rFont val="Times New Roman"/>
        <family val="1"/>
      </rPr>
      <t>q</t>
    </r>
    <r>
      <rPr>
        <strike/>
        <sz val="12"/>
        <color theme="1"/>
        <rFont val="Times New Roman"/>
        <family val="1"/>
      </rPr>
      <t>(</t>
    </r>
    <r>
      <rPr>
        <i/>
        <strike/>
        <sz val="12"/>
        <color theme="1"/>
        <rFont val="Times New Roman"/>
        <family val="1"/>
      </rPr>
      <t>w</t>
    </r>
    <r>
      <rPr>
        <strike/>
        <sz val="12"/>
        <color theme="1"/>
        <rFont val="Times New Roman"/>
        <family val="1"/>
      </rPr>
      <t xml:space="preserve">, </t>
    </r>
    <r>
      <rPr>
        <i/>
        <strike/>
        <sz val="12"/>
        <color theme="1"/>
        <rFont val="Times New Roman"/>
        <family val="1"/>
      </rPr>
      <t>d</t>
    </r>
    <r>
      <rPr>
        <strike/>
        <sz val="12"/>
        <color theme="1"/>
        <rFont val="Times New Roman"/>
        <family val="1"/>
      </rPr>
      <t xml:space="preserve"> + 1) | data to </t>
    </r>
    <r>
      <rPr>
        <i/>
        <strike/>
        <sz val="12"/>
        <color theme="1"/>
        <rFont val="Times New Roman"/>
        <family val="1"/>
      </rPr>
      <t>w</t>
    </r>
    <r>
      <rPr>
        <strike/>
        <sz val="12"/>
        <color theme="1"/>
        <rFont val="Times New Roman"/>
        <family val="1"/>
      </rPr>
      <t xml:space="preserve"> + </t>
    </r>
    <r>
      <rPr>
        <i/>
        <strike/>
        <sz val="12"/>
        <color theme="1"/>
        <rFont val="Times New Roman"/>
        <family val="1"/>
      </rPr>
      <t>d</t>
    </r>
    <r>
      <rPr>
        <strike/>
        <sz val="12"/>
        <color theme="1"/>
        <rFont val="Times New Roman"/>
        <family val="1"/>
      </rPr>
      <t xml:space="preserve">] = </t>
    </r>
  </si>
  <si>
    <t>linear with constant</t>
  </si>
  <si>
    <t>f(d)c(w, d) + g(d)</t>
  </si>
  <si>
    <r>
      <t>Formula 1: E[</t>
    </r>
    <r>
      <rPr>
        <i/>
        <strike/>
        <sz val="12"/>
        <color theme="1"/>
        <rFont val="Times New Roman"/>
        <family val="1"/>
      </rPr>
      <t>q</t>
    </r>
    <r>
      <rPr>
        <strike/>
        <sz val="12"/>
        <color theme="1"/>
        <rFont val="Times New Roman"/>
        <family val="1"/>
      </rPr>
      <t>(</t>
    </r>
    <r>
      <rPr>
        <i/>
        <strike/>
        <sz val="12"/>
        <color theme="1"/>
        <rFont val="Times New Roman"/>
        <family val="1"/>
      </rPr>
      <t>w</t>
    </r>
    <r>
      <rPr>
        <strike/>
        <sz val="12"/>
        <color theme="1"/>
        <rFont val="Times New Roman"/>
        <family val="1"/>
      </rPr>
      <t xml:space="preserve">, </t>
    </r>
    <r>
      <rPr>
        <i/>
        <strike/>
        <sz val="12"/>
        <color theme="1"/>
        <rFont val="Times New Roman"/>
        <family val="1"/>
      </rPr>
      <t>d</t>
    </r>
    <r>
      <rPr>
        <strike/>
        <sz val="12"/>
        <color theme="1"/>
        <rFont val="Times New Roman"/>
        <family val="1"/>
      </rPr>
      <t xml:space="preserve"> + 1) | data to </t>
    </r>
    <r>
      <rPr>
        <i/>
        <strike/>
        <sz val="12"/>
        <color theme="1"/>
        <rFont val="Times New Roman"/>
        <family val="1"/>
      </rPr>
      <t>w</t>
    </r>
    <r>
      <rPr>
        <strike/>
        <sz val="12"/>
        <color theme="1"/>
        <rFont val="Times New Roman"/>
        <family val="1"/>
      </rPr>
      <t xml:space="preserve"> + </t>
    </r>
    <r>
      <rPr>
        <i/>
        <strike/>
        <sz val="12"/>
        <color theme="1"/>
        <rFont val="Times New Roman"/>
        <family val="1"/>
      </rPr>
      <t>d</t>
    </r>
    <r>
      <rPr>
        <strike/>
        <sz val="12"/>
        <color theme="1"/>
        <rFont val="Times New Roman"/>
        <family val="1"/>
      </rPr>
      <t xml:space="preserve">] = </t>
    </r>
  </si>
  <si>
    <t>Verbal Description of Formula</t>
  </si>
  <si>
    <r>
      <t xml:space="preserve">Formula as a function of </t>
    </r>
    <r>
      <rPr>
        <i/>
        <strike/>
        <sz val="12"/>
        <rFont val="Times New Roman"/>
        <family val="1"/>
      </rPr>
      <t>f</t>
    </r>
    <r>
      <rPr>
        <strike/>
        <sz val="12"/>
        <rFont val="Times New Roman"/>
        <family val="1"/>
      </rPr>
      <t>(</t>
    </r>
    <r>
      <rPr>
        <i/>
        <strike/>
        <sz val="12"/>
        <rFont val="Times New Roman"/>
        <family val="1"/>
      </rPr>
      <t>d</t>
    </r>
    <r>
      <rPr>
        <strike/>
        <sz val="12"/>
        <rFont val="Times New Roman"/>
        <family val="1"/>
      </rPr>
      <t>)</t>
    </r>
  </si>
  <si>
    <t>Answer in the table below</t>
  </si>
  <si>
    <t>When typing the formulas, you are not required to use italics.</t>
  </si>
  <si>
    <r>
      <t>(</t>
    </r>
    <r>
      <rPr>
        <i/>
        <strike/>
        <sz val="12"/>
        <color rgb="FF002060"/>
        <rFont val="Times New Roman"/>
        <family val="1"/>
      </rPr>
      <t>1.5 points</t>
    </r>
    <r>
      <rPr>
        <strike/>
        <sz val="12"/>
        <color rgb="FF002060"/>
        <rFont val="Times New Roman"/>
        <family val="1"/>
      </rPr>
      <t xml:space="preserve">)  State a formula for each of the three alternative expressions including a verbal description of what they represent. </t>
    </r>
  </si>
  <si>
    <r>
      <t>Venter provides three alternative expressions for E[</t>
    </r>
    <r>
      <rPr>
        <i/>
        <strike/>
        <sz val="12"/>
        <color rgb="FF002060"/>
        <rFont val="Times New Roman"/>
        <family val="1"/>
      </rPr>
      <t>q</t>
    </r>
    <r>
      <rPr>
        <strike/>
        <sz val="12"/>
        <color rgb="FF002060"/>
        <rFont val="Times New Roman"/>
        <family val="1"/>
      </rPr>
      <t>(</t>
    </r>
    <r>
      <rPr>
        <i/>
        <strike/>
        <sz val="12"/>
        <color rgb="FF002060"/>
        <rFont val="Times New Roman"/>
        <family val="1"/>
      </rPr>
      <t>w</t>
    </r>
    <r>
      <rPr>
        <strike/>
        <sz val="12"/>
        <color rgb="FF002060"/>
        <rFont val="Times New Roman"/>
        <family val="1"/>
      </rPr>
      <t xml:space="preserve">, </t>
    </r>
    <r>
      <rPr>
        <i/>
        <strike/>
        <sz val="12"/>
        <color rgb="FF002060"/>
        <rFont val="Times New Roman"/>
        <family val="1"/>
      </rPr>
      <t>d</t>
    </r>
    <r>
      <rPr>
        <strike/>
        <sz val="12"/>
        <color rgb="FF002060"/>
        <rFont val="Times New Roman"/>
        <family val="1"/>
      </rPr>
      <t xml:space="preserve"> + 1) | data to</t>
    </r>
    <r>
      <rPr>
        <i/>
        <strike/>
        <sz val="12"/>
        <color rgb="FF002060"/>
        <rFont val="Times New Roman"/>
        <family val="1"/>
      </rPr>
      <t xml:space="preserve"> w</t>
    </r>
    <r>
      <rPr>
        <strike/>
        <sz val="12"/>
        <color rgb="FF002060"/>
        <rFont val="Times New Roman"/>
        <family val="1"/>
      </rPr>
      <t xml:space="preserve"> + </t>
    </r>
    <r>
      <rPr>
        <i/>
        <strike/>
        <sz val="12"/>
        <color rgb="FF002060"/>
        <rFont val="Times New Roman"/>
        <family val="1"/>
      </rPr>
      <t>d</t>
    </r>
    <r>
      <rPr>
        <strike/>
        <sz val="12"/>
        <color rgb="FF002060"/>
        <rFont val="Times New Roman"/>
        <family val="1"/>
      </rPr>
      <t>] that are worth investigating.</t>
    </r>
  </si>
  <si>
    <t xml:space="preserve">The expected value of the incremental losses to emerge in the next period is proportional to the total losses emerged to date, by accident year. </t>
  </si>
  <si>
    <r>
      <t>(</t>
    </r>
    <r>
      <rPr>
        <i/>
        <strike/>
        <sz val="12"/>
        <color rgb="FF002060"/>
        <rFont val="Times New Roman"/>
        <family val="1"/>
      </rPr>
      <t>0.5 points</t>
    </r>
    <r>
      <rPr>
        <strike/>
        <sz val="12"/>
        <color rgb="FF002060"/>
        <rFont val="Times New Roman"/>
        <family val="1"/>
      </rPr>
      <t xml:space="preserve">)  State the assumption in words. </t>
    </r>
  </si>
  <si>
    <r>
      <t>Venter restates one of Mack’s assumptions as E[</t>
    </r>
    <r>
      <rPr>
        <i/>
        <strike/>
        <sz val="12"/>
        <color rgb="FF002060"/>
        <rFont val="Times New Roman"/>
        <family val="1"/>
      </rPr>
      <t>q</t>
    </r>
    <r>
      <rPr>
        <strike/>
        <sz val="12"/>
        <color rgb="FF002060"/>
        <rFont val="Times New Roman"/>
        <family val="1"/>
      </rPr>
      <t>(</t>
    </r>
    <r>
      <rPr>
        <i/>
        <strike/>
        <sz val="12"/>
        <color rgb="FF002060"/>
        <rFont val="Times New Roman"/>
        <family val="1"/>
      </rPr>
      <t>w</t>
    </r>
    <r>
      <rPr>
        <strike/>
        <sz val="12"/>
        <color rgb="FF002060"/>
        <rFont val="Times New Roman"/>
        <family val="1"/>
      </rPr>
      <t xml:space="preserve">, </t>
    </r>
    <r>
      <rPr>
        <i/>
        <strike/>
        <sz val="12"/>
        <color rgb="FF002060"/>
        <rFont val="Times New Roman"/>
        <family val="1"/>
      </rPr>
      <t>d</t>
    </r>
    <r>
      <rPr>
        <strike/>
        <sz val="12"/>
        <color rgb="FF002060"/>
        <rFont val="Times New Roman"/>
        <family val="1"/>
      </rPr>
      <t xml:space="preserve"> + 1) | data to</t>
    </r>
    <r>
      <rPr>
        <i/>
        <strike/>
        <sz val="12"/>
        <color rgb="FF002060"/>
        <rFont val="Times New Roman"/>
        <family val="1"/>
      </rPr>
      <t xml:space="preserve"> w</t>
    </r>
    <r>
      <rPr>
        <strike/>
        <sz val="12"/>
        <color rgb="FF002060"/>
        <rFont val="Times New Roman"/>
        <family val="1"/>
      </rPr>
      <t xml:space="preserve"> + </t>
    </r>
    <r>
      <rPr>
        <i/>
        <strike/>
        <sz val="12"/>
        <color rgb="FF002060"/>
        <rFont val="Times New Roman"/>
        <family val="1"/>
      </rPr>
      <t>d</t>
    </r>
    <r>
      <rPr>
        <strike/>
        <sz val="12"/>
        <color rgb="FF002060"/>
        <rFont val="Times New Roman"/>
        <family val="1"/>
      </rPr>
      <t xml:space="preserve">] = </t>
    </r>
    <r>
      <rPr>
        <i/>
        <strike/>
        <sz val="12"/>
        <color rgb="FF002060"/>
        <rFont val="Times New Roman"/>
        <family val="1"/>
      </rPr>
      <t>f</t>
    </r>
    <r>
      <rPr>
        <strike/>
        <sz val="12"/>
        <color rgb="FF002060"/>
        <rFont val="Times New Roman"/>
        <family val="1"/>
      </rPr>
      <t>(</t>
    </r>
    <r>
      <rPr>
        <i/>
        <strike/>
        <sz val="12"/>
        <color rgb="FF002060"/>
        <rFont val="Times New Roman"/>
        <family val="1"/>
      </rPr>
      <t>d</t>
    </r>
    <r>
      <rPr>
        <strike/>
        <sz val="12"/>
        <color rgb="FF002060"/>
        <rFont val="Times New Roman"/>
        <family val="1"/>
      </rPr>
      <t>)</t>
    </r>
    <r>
      <rPr>
        <i/>
        <strike/>
        <sz val="12"/>
        <color rgb="FF002060"/>
        <rFont val="Times New Roman"/>
        <family val="1"/>
      </rPr>
      <t>c</t>
    </r>
    <r>
      <rPr>
        <strike/>
        <sz val="12"/>
        <color rgb="FF002060"/>
        <rFont val="Times New Roman"/>
        <family val="1"/>
      </rPr>
      <t>(</t>
    </r>
    <r>
      <rPr>
        <i/>
        <strike/>
        <sz val="12"/>
        <color rgb="FF002060"/>
        <rFont val="Times New Roman"/>
        <family val="1"/>
      </rPr>
      <t>w</t>
    </r>
    <r>
      <rPr>
        <strike/>
        <sz val="12"/>
        <color rgb="FF002060"/>
        <rFont val="Times New Roman"/>
        <family val="1"/>
      </rPr>
      <t xml:space="preserve">, </t>
    </r>
    <r>
      <rPr>
        <i/>
        <strike/>
        <sz val="12"/>
        <color rgb="FF002060"/>
        <rFont val="Times New Roman"/>
        <family val="1"/>
      </rPr>
      <t>d</t>
    </r>
    <r>
      <rPr>
        <strike/>
        <sz val="12"/>
        <color rgb="FF002060"/>
        <rFont val="Times New Roman"/>
        <family val="1"/>
      </rPr>
      <t>).</t>
    </r>
  </si>
  <si>
    <r>
      <t>·</t>
    </r>
    <r>
      <rPr>
        <strike/>
        <sz val="7"/>
        <color theme="4" tint="-0.499984740745262"/>
        <rFont val="Times New Roman"/>
        <family val="1"/>
      </rPr>
      <t xml:space="preserve">       </t>
    </r>
    <r>
      <rPr>
        <i/>
        <strike/>
        <sz val="12"/>
        <color theme="4" tint="-0.499984740745262"/>
        <rFont val="Times New Roman"/>
        <family val="1"/>
      </rPr>
      <t>f</t>
    </r>
    <r>
      <rPr>
        <strike/>
        <sz val="12"/>
        <color theme="4" tint="-0.499984740745262"/>
        <rFont val="Times New Roman"/>
        <family val="1"/>
      </rPr>
      <t>(</t>
    </r>
    <r>
      <rPr>
        <i/>
        <strike/>
        <sz val="12"/>
        <color theme="4" tint="-0.499984740745262"/>
        <rFont val="Times New Roman"/>
        <family val="1"/>
      </rPr>
      <t>d</t>
    </r>
    <r>
      <rPr>
        <strike/>
        <sz val="12"/>
        <color theme="4" tint="-0.499984740745262"/>
        <rFont val="Times New Roman"/>
        <family val="1"/>
      </rPr>
      <t xml:space="preserve">) – The factor applied to </t>
    </r>
    <r>
      <rPr>
        <i/>
        <strike/>
        <sz val="12"/>
        <color theme="4" tint="-0.499984740745262"/>
        <rFont val="Times New Roman"/>
        <family val="1"/>
      </rPr>
      <t>c</t>
    </r>
    <r>
      <rPr>
        <strike/>
        <sz val="12"/>
        <color theme="4" tint="-0.499984740745262"/>
        <rFont val="Times New Roman"/>
        <family val="1"/>
      </rPr>
      <t>(</t>
    </r>
    <r>
      <rPr>
        <i/>
        <strike/>
        <sz val="12"/>
        <color theme="4" tint="-0.499984740745262"/>
        <rFont val="Times New Roman"/>
        <family val="1"/>
      </rPr>
      <t>w</t>
    </r>
    <r>
      <rPr>
        <strike/>
        <sz val="12"/>
        <color theme="4" tint="-0.499984740745262"/>
        <rFont val="Times New Roman"/>
        <family val="1"/>
      </rPr>
      <t xml:space="preserve">, </t>
    </r>
    <r>
      <rPr>
        <i/>
        <strike/>
        <sz val="12"/>
        <color theme="4" tint="-0.499984740745262"/>
        <rFont val="Times New Roman"/>
        <family val="1"/>
      </rPr>
      <t>d</t>
    </r>
    <r>
      <rPr>
        <strike/>
        <sz val="12"/>
        <color theme="4" tint="-0.499984740745262"/>
        <rFont val="Times New Roman"/>
        <family val="1"/>
      </rPr>
      <t xml:space="preserve">) to estimate </t>
    </r>
    <r>
      <rPr>
        <i/>
        <strike/>
        <sz val="12"/>
        <color theme="4" tint="-0.499984740745262"/>
        <rFont val="Times New Roman"/>
        <family val="1"/>
      </rPr>
      <t>q</t>
    </r>
    <r>
      <rPr>
        <strike/>
        <sz val="12"/>
        <color theme="4" tint="-0.499984740745262"/>
        <rFont val="Times New Roman"/>
        <family val="1"/>
      </rPr>
      <t>(</t>
    </r>
    <r>
      <rPr>
        <i/>
        <strike/>
        <sz val="12"/>
        <color theme="4" tint="-0.499984740745262"/>
        <rFont val="Times New Roman"/>
        <family val="1"/>
      </rPr>
      <t>w</t>
    </r>
    <r>
      <rPr>
        <strike/>
        <sz val="12"/>
        <color theme="4" tint="-0.499984740745262"/>
        <rFont val="Times New Roman"/>
        <family val="1"/>
      </rPr>
      <t xml:space="preserve">, </t>
    </r>
    <r>
      <rPr>
        <i/>
        <strike/>
        <sz val="12"/>
        <color theme="4" tint="-0.499984740745262"/>
        <rFont val="Times New Roman"/>
        <family val="1"/>
      </rPr>
      <t>d</t>
    </r>
    <r>
      <rPr>
        <strike/>
        <sz val="12"/>
        <color theme="4" tint="-0.499984740745262"/>
        <rFont val="Times New Roman"/>
        <family val="1"/>
      </rPr>
      <t xml:space="preserve"> + 1).</t>
    </r>
  </si>
  <si>
    <r>
      <t>·</t>
    </r>
    <r>
      <rPr>
        <strike/>
        <sz val="7"/>
        <color theme="4" tint="-0.499984740745262"/>
        <rFont val="Times New Roman"/>
        <family val="1"/>
      </rPr>
      <t xml:space="preserve">       </t>
    </r>
    <r>
      <rPr>
        <i/>
        <strike/>
        <sz val="12"/>
        <color theme="4" tint="-0.499984740745262"/>
        <rFont val="Times New Roman"/>
        <family val="1"/>
      </rPr>
      <t>q</t>
    </r>
    <r>
      <rPr>
        <strike/>
        <sz val="12"/>
        <color theme="4" tint="-0.499984740745262"/>
        <rFont val="Times New Roman"/>
        <family val="1"/>
      </rPr>
      <t>(</t>
    </r>
    <r>
      <rPr>
        <i/>
        <strike/>
        <sz val="12"/>
        <color theme="4" tint="-0.499984740745262"/>
        <rFont val="Times New Roman"/>
        <family val="1"/>
      </rPr>
      <t>w</t>
    </r>
    <r>
      <rPr>
        <strike/>
        <sz val="12"/>
        <color theme="4" tint="-0.499984740745262"/>
        <rFont val="Times New Roman"/>
        <family val="1"/>
      </rPr>
      <t xml:space="preserve">, </t>
    </r>
    <r>
      <rPr>
        <i/>
        <strike/>
        <sz val="12"/>
        <color theme="4" tint="-0.499984740745262"/>
        <rFont val="Times New Roman"/>
        <family val="1"/>
      </rPr>
      <t>d</t>
    </r>
    <r>
      <rPr>
        <strike/>
        <sz val="12"/>
        <color theme="4" tint="-0.499984740745262"/>
        <rFont val="Times New Roman"/>
        <family val="1"/>
      </rPr>
      <t xml:space="preserve">) – The incremental loss from AY </t>
    </r>
    <r>
      <rPr>
        <i/>
        <strike/>
        <sz val="12"/>
        <color theme="4" tint="-0.499984740745262"/>
        <rFont val="Times New Roman"/>
        <family val="1"/>
      </rPr>
      <t>w</t>
    </r>
    <r>
      <rPr>
        <strike/>
        <sz val="12"/>
        <color theme="4" tint="-0.499984740745262"/>
        <rFont val="Times New Roman"/>
        <family val="1"/>
      </rPr>
      <t xml:space="preserve"> from age </t>
    </r>
    <r>
      <rPr>
        <i/>
        <strike/>
        <sz val="12"/>
        <color theme="4" tint="-0.499984740745262"/>
        <rFont val="Times New Roman"/>
        <family val="1"/>
      </rPr>
      <t>d</t>
    </r>
    <r>
      <rPr>
        <strike/>
        <sz val="12"/>
        <color theme="4" tint="-0.499984740745262"/>
        <rFont val="Times New Roman"/>
        <family val="1"/>
      </rPr>
      <t xml:space="preserve"> – 1 to age </t>
    </r>
    <r>
      <rPr>
        <i/>
        <strike/>
        <sz val="12"/>
        <color theme="4" tint="-0.499984740745262"/>
        <rFont val="Times New Roman"/>
        <family val="1"/>
      </rPr>
      <t>d</t>
    </r>
    <r>
      <rPr>
        <strike/>
        <sz val="12"/>
        <color theme="4" tint="-0.499984740745262"/>
        <rFont val="Times New Roman"/>
        <family val="1"/>
      </rPr>
      <t>.</t>
    </r>
  </si>
  <si>
    <r>
      <t>·</t>
    </r>
    <r>
      <rPr>
        <strike/>
        <sz val="7"/>
        <color theme="4" tint="-0.499984740745262"/>
        <rFont val="Times New Roman"/>
        <family val="1"/>
      </rPr>
      <t xml:space="preserve">       </t>
    </r>
    <r>
      <rPr>
        <i/>
        <strike/>
        <sz val="12"/>
        <color theme="4" tint="-0.499984740745262"/>
        <rFont val="Times New Roman"/>
        <family val="1"/>
      </rPr>
      <t>c</t>
    </r>
    <r>
      <rPr>
        <strike/>
        <sz val="12"/>
        <color theme="4" tint="-0.499984740745262"/>
        <rFont val="Times New Roman"/>
        <family val="1"/>
      </rPr>
      <t>(</t>
    </r>
    <r>
      <rPr>
        <i/>
        <strike/>
        <sz val="12"/>
        <color theme="4" tint="-0.499984740745262"/>
        <rFont val="Times New Roman"/>
        <family val="1"/>
      </rPr>
      <t>w</t>
    </r>
    <r>
      <rPr>
        <strike/>
        <sz val="12"/>
        <color theme="4" tint="-0.499984740745262"/>
        <rFont val="Times New Roman"/>
        <family val="1"/>
      </rPr>
      <t xml:space="preserve">, </t>
    </r>
    <r>
      <rPr>
        <i/>
        <strike/>
        <sz val="12"/>
        <color theme="4" tint="-0.499984740745262"/>
        <rFont val="Times New Roman"/>
        <family val="1"/>
      </rPr>
      <t>d</t>
    </r>
    <r>
      <rPr>
        <strike/>
        <sz val="12"/>
        <color theme="4" tint="-0.499984740745262"/>
        <rFont val="Times New Roman"/>
        <family val="1"/>
      </rPr>
      <t xml:space="preserve">) – The cumulative loss from AY </t>
    </r>
    <r>
      <rPr>
        <i/>
        <strike/>
        <sz val="12"/>
        <color theme="4" tint="-0.499984740745262"/>
        <rFont val="Times New Roman"/>
        <family val="1"/>
      </rPr>
      <t>w</t>
    </r>
    <r>
      <rPr>
        <strike/>
        <sz val="12"/>
        <color theme="4" tint="-0.499984740745262"/>
        <rFont val="Times New Roman"/>
        <family val="1"/>
      </rPr>
      <t xml:space="preserve"> as of age </t>
    </r>
    <r>
      <rPr>
        <i/>
        <strike/>
        <sz val="12"/>
        <color theme="4" tint="-0.499984740745262"/>
        <rFont val="Times New Roman"/>
        <family val="1"/>
      </rPr>
      <t>d</t>
    </r>
    <r>
      <rPr>
        <strike/>
        <sz val="12"/>
        <color theme="4" tint="-0.499984740745262"/>
        <rFont val="Times New Roman"/>
        <family val="1"/>
      </rPr>
      <t>.</t>
    </r>
  </si>
  <si>
    <t>Venter’s paper introduces the following notation:</t>
  </si>
  <si>
    <t>The correct value is larger because the correlations are positive, so the variance of the sum will exceed the sum of the variances.</t>
  </si>
  <si>
    <r>
      <t>(</t>
    </r>
    <r>
      <rPr>
        <i/>
        <sz val="12"/>
        <color rgb="FF002060"/>
        <rFont val="Times New Roman"/>
        <family val="1"/>
      </rPr>
      <t>0.5 points</t>
    </r>
    <r>
      <rPr>
        <sz val="12"/>
        <color rgb="FF002060"/>
        <rFont val="Times New Roman"/>
        <family val="1"/>
      </rPr>
      <t xml:space="preserve">)  Explain why the correct value is larger than that obtained via your assistant’s approach. </t>
    </r>
  </si>
  <si>
    <t xml:space="preserve">The variance of the sum of random variables is only the sum of the variances when the variables are uncorrelated. The individual estimators are correlated because they rely on the same estimates of the age-to-age factors. </t>
  </si>
  <si>
    <r>
      <t>(</t>
    </r>
    <r>
      <rPr>
        <i/>
        <sz val="12"/>
        <color rgb="FF002060"/>
        <rFont val="Times New Roman"/>
        <family val="1"/>
      </rPr>
      <t>0.5 points</t>
    </r>
    <r>
      <rPr>
        <sz val="12"/>
        <color rgb="FF002060"/>
        <rFont val="Times New Roman"/>
        <family val="1"/>
      </rPr>
      <t xml:space="preserve">)  Explain why your assistant’s approach is incorrect. </t>
    </r>
  </si>
  <si>
    <t>Your assistant has suggested that the variance of the overall reserve estimator can be calculated by summing the individual AY variances.</t>
  </si>
  <si>
    <t>mu</t>
  </si>
  <si>
    <r>
      <t>sigma</t>
    </r>
    <r>
      <rPr>
        <strike/>
        <vertAlign val="superscript"/>
        <sz val="12"/>
        <rFont val="Times New Roman"/>
        <family val="1"/>
      </rPr>
      <t>2</t>
    </r>
  </si>
  <si>
    <t>variance</t>
  </si>
  <si>
    <t>Confidence interval upper limit</t>
  </si>
  <si>
    <t>rerserve</t>
  </si>
  <si>
    <t>Confidence interval lower limit</t>
  </si>
  <si>
    <t>(The 97.5 percentile of the normal distribution is 1.96.)</t>
  </si>
  <si>
    <r>
      <t>(</t>
    </r>
    <r>
      <rPr>
        <i/>
        <strike/>
        <sz val="12"/>
        <color rgb="FF002060"/>
        <rFont val="Times New Roman"/>
        <family val="1"/>
      </rPr>
      <t>1.5 points</t>
    </r>
    <r>
      <rPr>
        <strike/>
        <sz val="12"/>
        <color rgb="FF002060"/>
        <rFont val="Times New Roman"/>
        <family val="1"/>
      </rPr>
      <t xml:space="preserve">)  Calculate a 95% confidence interval for the AY 8 reserve estimate using Mack’s approach based on the lognormal distribution. </t>
    </r>
  </si>
  <si>
    <t>AY 3</t>
  </si>
  <si>
    <t>AY 2</t>
  </si>
  <si>
    <r>
      <t>(</t>
    </r>
    <r>
      <rPr>
        <i/>
        <sz val="12"/>
        <color rgb="FF002060"/>
        <rFont val="Times New Roman"/>
        <family val="1"/>
      </rPr>
      <t>1 point</t>
    </r>
    <r>
      <rPr>
        <sz val="12"/>
        <color rgb="FF002060"/>
        <rFont val="Times New Roman"/>
        <family val="1"/>
      </rPr>
      <t>)  Calculate the standard error of the reserve estimator for AYs 2 and 3.</t>
    </r>
  </si>
  <si>
    <t>Answer in the space above.</t>
  </si>
  <si>
    <r>
      <t>(</t>
    </r>
    <r>
      <rPr>
        <i/>
        <sz val="12"/>
        <color rgb="FF002060"/>
        <rFont val="Times New Roman"/>
        <family val="1"/>
      </rPr>
      <t>1 point</t>
    </r>
    <r>
      <rPr>
        <sz val="12"/>
        <color rgb="FF002060"/>
        <rFont val="Times New Roman"/>
        <family val="1"/>
      </rPr>
      <t xml:space="preserve">)  </t>
    </r>
  </si>
  <si>
    <r>
      <t>f</t>
    </r>
    <r>
      <rPr>
        <i/>
        <vertAlign val="subscript"/>
        <sz val="12"/>
        <color theme="4" tint="-0.499984740745262"/>
        <rFont val="Times New Roman"/>
        <family val="1"/>
      </rPr>
      <t>k</t>
    </r>
  </si>
  <si>
    <t>k</t>
  </si>
  <si>
    <t>Answer in the space above to complete the triangle.</t>
  </si>
  <si>
    <t>Answer in the space below for the development factors.</t>
  </si>
  <si>
    <r>
      <t>(</t>
    </r>
    <r>
      <rPr>
        <i/>
        <sz val="12"/>
        <color rgb="FF002060"/>
        <rFont val="Times New Roman"/>
        <family val="1"/>
      </rPr>
      <t>1.5 points</t>
    </r>
    <r>
      <rPr>
        <sz val="12"/>
        <color rgb="FF002060"/>
        <rFont val="Times New Roman"/>
        <family val="1"/>
      </rPr>
      <t>)  Calculate the development factors (</t>
    </r>
    <r>
      <rPr>
        <i/>
        <sz val="12"/>
        <color rgb="FF002060"/>
        <rFont val="Times New Roman"/>
        <family val="1"/>
      </rPr>
      <t>f</t>
    </r>
    <r>
      <rPr>
        <i/>
        <vertAlign val="subscript"/>
        <sz val="12"/>
        <color rgb="FF002060"/>
        <rFont val="Times New Roman"/>
        <family val="1"/>
      </rPr>
      <t>k</t>
    </r>
    <r>
      <rPr>
        <sz val="12"/>
        <color rgb="FF002060"/>
        <rFont val="Times New Roman"/>
        <family val="1"/>
      </rPr>
      <t>) and complete the triangle using Mack’s chain ladder approach.</t>
    </r>
  </si>
  <si>
    <t>Variance</t>
  </si>
  <si>
    <r>
      <t>(</t>
    </r>
    <r>
      <rPr>
        <i/>
        <sz val="12"/>
        <color rgb="FF002060"/>
        <rFont val="Times New Roman"/>
        <family val="1"/>
      </rPr>
      <t>8 points</t>
    </r>
    <r>
      <rPr>
        <sz val="12"/>
        <color rgb="FF002060"/>
        <rFont val="Times New Roman"/>
        <family val="1"/>
      </rPr>
      <t xml:space="preserve">)  You are determining the variability of unpaid claim estimates. The triangle of cumulative paid claims is presented below. It is assumed that all claims are fully developed after ten years.
</t>
    </r>
  </si>
  <si>
    <t>Whether factors are applicable to claims or premiums</t>
  </si>
  <si>
    <t>Treatment of ALAE</t>
  </si>
  <si>
    <r>
      <t>(</t>
    </r>
    <r>
      <rPr>
        <i/>
        <sz val="12"/>
        <color theme="8" tint="-0.499984740745262"/>
        <rFont val="Times New Roman"/>
        <family val="1"/>
      </rPr>
      <t>0.5 points</t>
    </r>
    <r>
      <rPr>
        <sz val="12"/>
        <color theme="8" tint="-0.499984740745262"/>
        <rFont val="Times New Roman"/>
        <family val="1"/>
      </rPr>
      <t>)  Identify two considerations when applying the increased limits factors approach.</t>
    </r>
  </si>
  <si>
    <t>You are assessing the increased limits factors approach as an alternative.</t>
  </si>
  <si>
    <t>There are large differences in the estimated IBNR between the two methods.</t>
  </si>
  <si>
    <r>
      <t>(</t>
    </r>
    <r>
      <rPr>
        <i/>
        <sz val="12"/>
        <color theme="8" tint="-0.499984740745262"/>
        <rFont val="Times New Roman"/>
        <family val="1"/>
      </rPr>
      <t>1 point</t>
    </r>
    <r>
      <rPr>
        <sz val="12"/>
        <color theme="8" tint="-0.499984740745262"/>
        <rFont val="Times New Roman"/>
        <family val="1"/>
      </rPr>
      <t>)  Explain why alternative methods should be considered based on the results from part (a).</t>
    </r>
  </si>
  <si>
    <t>Whether to use actual historical data, industry data, or a combination</t>
  </si>
  <si>
    <t>The different trend rates that are associated with claims at differing limits</t>
  </si>
  <si>
    <r>
      <t>(</t>
    </r>
    <r>
      <rPr>
        <i/>
        <sz val="12"/>
        <color theme="8" tint="-0.499984740745262"/>
        <rFont val="Times New Roman"/>
        <family val="1"/>
      </rPr>
      <t>0.5 points</t>
    </r>
    <r>
      <rPr>
        <sz val="12"/>
        <color theme="8" tint="-0.499984740745262"/>
        <rFont val="Times New Roman"/>
        <family val="1"/>
      </rPr>
      <t>)  Describe two considerations in the calculation of R</t>
    </r>
    <r>
      <rPr>
        <vertAlign val="subscript"/>
        <sz val="12"/>
        <color theme="8" tint="-0.499984740745262"/>
        <rFont val="Times New Roman"/>
        <family val="1"/>
      </rPr>
      <t>t</t>
    </r>
    <r>
      <rPr>
        <sz val="12"/>
        <color theme="8" tint="-0.499984740745262"/>
        <rFont val="Times New Roman"/>
        <family val="1"/>
      </rPr>
      <t xml:space="preserve"> values.</t>
    </r>
  </si>
  <si>
    <t>IBNR</t>
  </si>
  <si>
    <t xml:space="preserve">Reported </t>
  </si>
  <si>
    <t>CDF xs 400</t>
  </si>
  <si>
    <t>Rt</t>
  </si>
  <si>
    <t>CDF total</t>
  </si>
  <si>
    <t>simple avg</t>
  </si>
  <si>
    <t>72-ult</t>
  </si>
  <si>
    <t>60-72</t>
  </si>
  <si>
    <t>48-60</t>
  </si>
  <si>
    <t>36-48</t>
  </si>
  <si>
    <t>24-36</t>
  </si>
  <si>
    <t>12-24</t>
  </si>
  <si>
    <t>Age to age factors-Total Limits</t>
  </si>
  <si>
    <t>Age to age factors-Excess of 400,000 Limit</t>
  </si>
  <si>
    <t>Reported Claims (000) Excess of 400,000 Limit</t>
  </si>
  <si>
    <r>
      <t>(ii)</t>
    </r>
    <r>
      <rPr>
        <sz val="7"/>
        <color theme="8" tint="-0.499984740745262"/>
        <rFont val="Times New Roman"/>
        <family val="1"/>
      </rPr>
      <t xml:space="preserve">            </t>
    </r>
    <r>
      <rPr>
        <sz val="12"/>
        <color theme="8" tint="-0.499984740745262"/>
        <rFont val="Times New Roman"/>
        <family val="1"/>
      </rPr>
      <t>Theoretically-derived development factors based on Siewert's formula</t>
    </r>
  </si>
  <si>
    <r>
      <t>(i)</t>
    </r>
    <r>
      <rPr>
        <sz val="7"/>
        <color theme="8" tint="-0.499984740745262"/>
        <rFont val="Times New Roman"/>
        <family val="1"/>
      </rPr>
      <t xml:space="preserve">              </t>
    </r>
    <r>
      <rPr>
        <sz val="12"/>
        <color theme="8" tint="-0.499984740745262"/>
        <rFont val="Times New Roman"/>
        <family val="1"/>
      </rPr>
      <t>Development factors calculated using a simple average</t>
    </r>
  </si>
  <si>
    <r>
      <t>(</t>
    </r>
    <r>
      <rPr>
        <i/>
        <sz val="12"/>
        <color theme="8" tint="-0.499984740745262"/>
        <rFont val="Times New Roman"/>
        <family val="1"/>
      </rPr>
      <t>2 points</t>
    </r>
    <r>
      <rPr>
        <sz val="12"/>
        <color theme="8" tint="-0.499984740745262"/>
        <rFont val="Times New Roman"/>
        <family val="1"/>
      </rPr>
      <t>)  Calculate the total IBNR for claims excess of 400,000 as of December 31, 2022 using each of the following approaches:</t>
    </r>
  </si>
  <si>
    <t>There is no development beyond 72 months.</t>
  </si>
  <si>
    <r>
      <t>Summary of Severity Relativity (R</t>
    </r>
    <r>
      <rPr>
        <b/>
        <vertAlign val="subscript"/>
        <sz val="12"/>
        <color theme="8" tint="-0.499984740745262"/>
        <rFont val="Times New Roman"/>
        <family val="1"/>
      </rPr>
      <t>t</t>
    </r>
    <r>
      <rPr>
        <b/>
        <sz val="12"/>
        <color theme="8" tint="-0.499984740745262"/>
        <rFont val="Times New Roman"/>
        <family val="1"/>
      </rPr>
      <t>) of 400,000 Limit to Total Limits
by maturity age</t>
    </r>
  </si>
  <si>
    <t>Reported Claims (000) at 400,000 Limit</t>
  </si>
  <si>
    <t>Reported Claims (000) at Total Limits</t>
  </si>
  <si>
    <r>
      <t>(</t>
    </r>
    <r>
      <rPr>
        <i/>
        <sz val="12"/>
        <color theme="8" tint="-0.499984740745262"/>
        <rFont val="Times New Roman"/>
        <family val="1"/>
      </rPr>
      <t>4 points</t>
    </r>
    <r>
      <rPr>
        <sz val="12"/>
        <color theme="8" tint="-0.499984740745262"/>
        <rFont val="Times New Roman"/>
        <family val="1"/>
      </rPr>
      <t>)  You are given the following information for estimating claims in excess of 400,000 for a liability line of business:</t>
    </r>
  </si>
  <si>
    <t>Question 10</t>
  </si>
  <si>
    <t>Layer IBNR for AY 2022</t>
  </si>
  <si>
    <t>Ultimate claims for layer of 500,000 xs 250,000</t>
  </si>
  <si>
    <t>Ultimate claims at 750,000 limits</t>
  </si>
  <si>
    <t>years</t>
  </si>
  <si>
    <t>Trend Period</t>
  </si>
  <si>
    <t xml:space="preserve">ILF trended to 7/1/2022 </t>
  </si>
  <si>
    <t xml:space="preserve">From </t>
  </si>
  <si>
    <t>Residual trend for 750,000 limit</t>
  </si>
  <si>
    <t>Amounts in 000s</t>
  </si>
  <si>
    <r>
      <t>(</t>
    </r>
    <r>
      <rPr>
        <i/>
        <sz val="12"/>
        <color theme="8" tint="-0.499984740745262"/>
        <rFont val="Times New Roman"/>
        <family val="1"/>
      </rPr>
      <t>1.5 points</t>
    </r>
    <r>
      <rPr>
        <sz val="12"/>
        <color theme="8" tint="-0.499984740745262"/>
        <rFont val="Times New Roman"/>
        <family val="1"/>
      </rPr>
      <t>)  Calculate the layer IBNR for AY 2022 as of December 31, 2022 using the ILF method.</t>
    </r>
  </si>
  <si>
    <t>Annual trend factor for 250k limit</t>
  </si>
  <si>
    <r>
      <t>·</t>
    </r>
    <r>
      <rPr>
        <sz val="7"/>
        <color theme="8" tint="-0.499984740745262"/>
        <rFont val="Times New Roman"/>
        <family val="1"/>
      </rPr>
      <t xml:space="preserve">       </t>
    </r>
    <r>
      <rPr>
        <sz val="12"/>
        <color theme="8" tint="-0.499984740745262"/>
        <rFont val="Times New Roman"/>
        <family val="1"/>
      </rPr>
      <t>The selected annual trend factor for a 250,000 limit is 1.0%.</t>
    </r>
  </si>
  <si>
    <t>Annual trend factor for 750k limit</t>
  </si>
  <si>
    <r>
      <t>·</t>
    </r>
    <r>
      <rPr>
        <sz val="7"/>
        <color theme="8" tint="-0.499984740745262"/>
        <rFont val="Times New Roman"/>
        <family val="1"/>
      </rPr>
      <t xml:space="preserve">       </t>
    </r>
    <r>
      <rPr>
        <sz val="12"/>
        <color theme="8" tint="-0.499984740745262"/>
        <rFont val="Times New Roman"/>
        <family val="1"/>
      </rPr>
      <t>The selected annual trend factor for a 750,000 limit is 2.2%.</t>
    </r>
  </si>
  <si>
    <t>ILF 750k to 250k at 1/1/2020</t>
  </si>
  <si>
    <r>
      <t>·</t>
    </r>
    <r>
      <rPr>
        <sz val="7"/>
        <color theme="8" tint="-0.499984740745262"/>
        <rFont val="Times New Roman"/>
        <family val="1"/>
      </rPr>
      <t xml:space="preserve">       </t>
    </r>
    <r>
      <rPr>
        <sz val="12"/>
        <color theme="8" tint="-0.499984740745262"/>
        <rFont val="Times New Roman"/>
        <family val="1"/>
      </rPr>
      <t>The estimated ILF at 750,000 relative to 250,000 at the January 1, 2020 cost level is 1.19.</t>
    </r>
  </si>
  <si>
    <t>Ultimate at 250k limit</t>
  </si>
  <si>
    <r>
      <t>·</t>
    </r>
    <r>
      <rPr>
        <sz val="7"/>
        <color theme="8" tint="-0.499984740745262"/>
        <rFont val="Times New Roman"/>
        <family val="1"/>
      </rPr>
      <t xml:space="preserve">       </t>
    </r>
    <r>
      <rPr>
        <sz val="12"/>
        <color theme="8" tint="-0.499984740745262"/>
        <rFont val="Times New Roman"/>
        <family val="1"/>
      </rPr>
      <t>Ultimate claims at 250,000 limits for AY 2022 using actual development factors are 5,019,000.</t>
    </r>
  </si>
  <si>
    <t>You are considering using the increased limit factor (ILF) method to estimate ultimate claims for the layer.  You have the following additional information:</t>
  </si>
  <si>
    <t>The estimated CDFs for 250,000 limits are higher than the CDFs for 750,000 limits for accident year 2021 and accident year 2022. It is unusual for lower limits to have a higher CDF.</t>
  </si>
  <si>
    <r>
      <t>(</t>
    </r>
    <r>
      <rPr>
        <i/>
        <sz val="12"/>
        <color theme="8" tint="-0.499984740745262"/>
        <rFont val="Times New Roman"/>
        <family val="1"/>
      </rPr>
      <t>1 point</t>
    </r>
    <r>
      <rPr>
        <sz val="12"/>
        <color theme="8" tint="-0.499984740745262"/>
        <rFont val="Times New Roman"/>
        <family val="1"/>
      </rPr>
      <t>)  Describe a peculiarity with the CDFs derived from Siewert’s formula in part (a).</t>
    </r>
  </si>
  <si>
    <t>500,000 xs 250,000</t>
  </si>
  <si>
    <t>750,000 
Limits</t>
  </si>
  <si>
    <t>250,000 
Limits</t>
  </si>
  <si>
    <t>IBNR (000)</t>
  </si>
  <si>
    <t>Projected Ultimate Claims (000)</t>
  </si>
  <si>
    <t>Estimated CDF</t>
  </si>
  <si>
    <r>
      <t>(</t>
    </r>
    <r>
      <rPr>
        <i/>
        <sz val="12"/>
        <color theme="8" tint="-0.499984740745262"/>
        <rFont val="Times New Roman"/>
        <family val="1"/>
      </rPr>
      <t>1.5 points</t>
    </r>
    <r>
      <rPr>
        <sz val="12"/>
        <color theme="8" tint="-0.499984740745262"/>
        <rFont val="Times New Roman"/>
        <family val="1"/>
      </rPr>
      <t>)  Calculate total IBNR for the layer as of December 31, 2022 using Siewert's formula.</t>
    </r>
  </si>
  <si>
    <t>There is no development beyond 84 months.</t>
  </si>
  <si>
    <t>750,000 to Unlimited</t>
  </si>
  <si>
    <t>250,000 to Unlimited</t>
  </si>
  <si>
    <t>Total 
Limits</t>
  </si>
  <si>
    <r>
      <t>Severity Relativity (R</t>
    </r>
    <r>
      <rPr>
        <b/>
        <vertAlign val="subscript"/>
        <sz val="12"/>
        <color theme="8" tint="-0.499984740745262"/>
        <rFont val="Times New Roman"/>
        <family val="1"/>
      </rPr>
      <t>t</t>
    </r>
    <r>
      <rPr>
        <b/>
        <sz val="12"/>
        <color theme="8" tint="-0.499984740745262"/>
        <rFont val="Times New Roman"/>
        <family val="1"/>
      </rPr>
      <t>)</t>
    </r>
  </si>
  <si>
    <t>Reported Claims (000) at 12/31/2022</t>
  </si>
  <si>
    <r>
      <t>(</t>
    </r>
    <r>
      <rPr>
        <i/>
        <sz val="12"/>
        <color theme="8" tint="-0.499984740745262"/>
        <rFont val="Times New Roman"/>
        <family val="1"/>
      </rPr>
      <t>4 points</t>
    </r>
    <r>
      <rPr>
        <sz val="12"/>
        <color theme="8" tint="-0.499984740745262"/>
        <rFont val="Times New Roman"/>
        <family val="1"/>
      </rPr>
      <t>)  You are estimating ultimate claims for the layer of 500,000 excess of 250,000.  You are given the following information including estimated cumulative development factors (CDFs):</t>
    </r>
  </si>
  <si>
    <t>IBNR for the layer</t>
  </si>
  <si>
    <t>Ultimate claims for 200,000 limits</t>
  </si>
  <si>
    <t>Ultimate claims at 50,000 limits from part(a)</t>
  </si>
  <si>
    <t>ILF factor applicable to claims</t>
  </si>
  <si>
    <t>Amounts in 000</t>
  </si>
  <si>
    <r>
      <t>(e)         (</t>
    </r>
    <r>
      <rPr>
        <i/>
        <sz val="12"/>
        <color rgb="FF002060"/>
        <rFont val="Times New Roman"/>
        <family val="1"/>
      </rPr>
      <t>1 point</t>
    </r>
    <r>
      <rPr>
        <sz val="12"/>
        <color rgb="FF002060"/>
        <rFont val="Times New Roman"/>
        <family val="1"/>
      </rPr>
      <t>)  Calculate the AY 2023 IBNR for the layer using the ILF method.</t>
    </r>
  </si>
  <si>
    <t xml:space="preserve"> for prem., at 12/31/2023 level</t>
  </si>
  <si>
    <t xml:space="preserve">ILF 200k to 50k </t>
  </si>
  <si>
    <t>You are considering the increased limit factor (ILF) method to estimate the layer reserves. The ILF applicable to premium for 200,000 limits relative to 50,000 limits at the December 31, 2023 cost level is 1.9. You use the ultimate claims for the 50,000 limits from part (a).</t>
  </si>
  <si>
    <t>Ultimate claims</t>
  </si>
  <si>
    <t>Earned premium trended to 12/31/2023</t>
  </si>
  <si>
    <t>200,000 Limits</t>
  </si>
  <si>
    <t>50,000 Limits</t>
  </si>
  <si>
    <r>
      <t>(d)         (</t>
    </r>
    <r>
      <rPr>
        <i/>
        <sz val="12"/>
        <color rgb="FF002060"/>
        <rFont val="Times New Roman"/>
        <family val="1"/>
      </rPr>
      <t>1 point</t>
    </r>
    <r>
      <rPr>
        <sz val="12"/>
        <color rgb="FF002060"/>
        <rFont val="Times New Roman"/>
        <family val="1"/>
      </rPr>
      <t>)  Calculate the AY 2023 IBNR for the layer using the expected method.</t>
    </r>
  </si>
  <si>
    <t>For more mature experience periods, the lack of sensitivity to change in reported claims makes it less accurate</t>
  </si>
  <si>
    <r>
      <t>(c)         (</t>
    </r>
    <r>
      <rPr>
        <i/>
        <sz val="12"/>
        <color rgb="FF002060"/>
        <rFont val="Times New Roman"/>
        <family val="1"/>
      </rPr>
      <t>0.5 points</t>
    </r>
    <r>
      <rPr>
        <sz val="12"/>
        <color rgb="FF002060"/>
        <rFont val="Times New Roman"/>
        <family val="1"/>
      </rPr>
      <t>)  Describe a limitation of using the expected method.</t>
    </r>
  </si>
  <si>
    <t>The database issue indicates that loss development data may not be reliable. The expected method is often used for immature experience periods when excess claims data may be too sparse.</t>
  </si>
  <si>
    <r>
      <t>(b)         (</t>
    </r>
    <r>
      <rPr>
        <i/>
        <sz val="12"/>
        <color rgb="FF002060"/>
        <rFont val="Times New Roman"/>
        <family val="1"/>
      </rPr>
      <t>0.5 points</t>
    </r>
    <r>
      <rPr>
        <sz val="12"/>
        <color rgb="FF002060"/>
        <rFont val="Times New Roman"/>
        <family val="1"/>
      </rPr>
      <t>)  Explain why the expected method would be a viable alternative to the development method.</t>
    </r>
  </si>
  <si>
    <t>Total IBNR for the layer</t>
  </si>
  <si>
    <t>Total IBNR for 200,000 limits</t>
  </si>
  <si>
    <t>IBNR for 50,000 limits</t>
  </si>
  <si>
    <t>CDF</t>
  </si>
  <si>
    <t>weighted avg</t>
  </si>
  <si>
    <t>72 to Ult</t>
  </si>
  <si>
    <t>At 50,000 limits</t>
  </si>
  <si>
    <t>Age to age factor</t>
  </si>
  <si>
    <r>
      <t>(a)         (</t>
    </r>
    <r>
      <rPr>
        <i/>
        <sz val="12"/>
        <color rgb="FF002060"/>
        <rFont val="Times New Roman"/>
        <family val="1"/>
      </rPr>
      <t>1 point</t>
    </r>
    <r>
      <rPr>
        <sz val="12"/>
        <color rgb="FF002060"/>
        <rFont val="Times New Roman"/>
        <family val="1"/>
      </rPr>
      <t>)  Calculate the total IBNR for the layer of 150,000 excess of 50,000 using volume-weighted average loss development factors.</t>
    </r>
  </si>
  <si>
    <t>Annual premium trend</t>
  </si>
  <si>
    <r>
      <rPr>
        <sz val="12"/>
        <color rgb="FF002060"/>
        <rFont val="Symbol"/>
        <family val="1"/>
        <charset val="2"/>
      </rPr>
      <t>·</t>
    </r>
    <r>
      <rPr>
        <sz val="12"/>
        <color rgb="FF002060"/>
        <rFont val="Times New Roman"/>
        <family val="1"/>
      </rPr>
      <t xml:space="preserve">  The annual premium trend is 3%. </t>
    </r>
  </si>
  <si>
    <r>
      <rPr>
        <sz val="12"/>
        <color rgb="FF002060"/>
        <rFont val="Symbol"/>
        <family val="1"/>
        <charset val="2"/>
      </rPr>
      <t>·</t>
    </r>
    <r>
      <rPr>
        <sz val="12"/>
        <color rgb="FF002060"/>
        <rFont val="Times New Roman"/>
        <family val="1"/>
      </rPr>
      <t xml:space="preserve">  There were no rate changes from 2021 through 2023. </t>
    </r>
  </si>
  <si>
    <t xml:space="preserve">  for 200,000 limits</t>
  </si>
  <si>
    <t>Ultimate (000)</t>
  </si>
  <si>
    <r>
      <rPr>
        <sz val="12"/>
        <color rgb="FF002060"/>
        <rFont val="Symbol"/>
        <family val="1"/>
        <charset val="2"/>
      </rPr>
      <t>·</t>
    </r>
    <r>
      <rPr>
        <sz val="12"/>
        <color rgb="FF002060"/>
        <rFont val="Times New Roman"/>
        <family val="1"/>
      </rPr>
      <t>  Total ultimate claims for 200,000 limits for all accident years are 46,986,000.</t>
    </r>
  </si>
  <si>
    <r>
      <rPr>
        <sz val="12"/>
        <color rgb="FF002060"/>
        <rFont val="Symbol"/>
        <family val="1"/>
        <charset val="2"/>
      </rPr>
      <t>·</t>
    </r>
    <r>
      <rPr>
        <sz val="12"/>
        <color rgb="FF002060"/>
        <rFont val="Times New Roman"/>
        <family val="1"/>
      </rPr>
      <t>  All the claims have been trended to December 31, 2023.</t>
    </r>
  </si>
  <si>
    <r>
      <rPr>
        <sz val="12"/>
        <color rgb="FF002060"/>
        <rFont val="Symbol"/>
        <family val="1"/>
        <charset val="2"/>
      </rPr>
      <t>·</t>
    </r>
    <r>
      <rPr>
        <sz val="12"/>
        <color rgb="FF002060"/>
        <rFont val="Times New Roman"/>
        <family val="1"/>
      </rPr>
      <t>  There is no loss development beyond 72 months.</t>
    </r>
  </si>
  <si>
    <r>
      <rPr>
        <sz val="12"/>
        <color rgb="FF002060"/>
        <rFont val="Symbol"/>
        <family val="1"/>
        <charset val="2"/>
      </rPr>
      <t>·</t>
    </r>
    <r>
      <rPr>
        <sz val="12"/>
        <color rgb="FF002060"/>
        <rFont val="Times New Roman"/>
        <family val="1"/>
      </rPr>
      <t>  The 200,000 limits loss data for prior reporting periods is not available due to a database issue.</t>
    </r>
  </si>
  <si>
    <t>Expected Loss Ratio</t>
  </si>
  <si>
    <t>Calendar Year 2023 Earned Premium (000)</t>
  </si>
  <si>
    <t>N/A</t>
  </si>
  <si>
    <t>Reported Claims (000) at 200,000 Limits</t>
  </si>
  <si>
    <t>Incremental Reported Claims (000) for 150,000 Excess of 50,000 Limits</t>
  </si>
  <si>
    <t>Reported Claims (000) at 200,000 Limit</t>
  </si>
  <si>
    <t>Reported Claims (000) at 50,000 Limits</t>
  </si>
  <si>
    <r>
      <t>(</t>
    </r>
    <r>
      <rPr>
        <i/>
        <sz val="12"/>
        <color rgb="FF002060"/>
        <rFont val="Times New Roman"/>
        <family val="1"/>
      </rPr>
      <t>4 points</t>
    </r>
    <r>
      <rPr>
        <sz val="12"/>
        <color rgb="FF002060"/>
        <rFont val="Times New Roman"/>
        <family val="1"/>
      </rPr>
      <t>)  You are performing a reserve analysis for the layer of 150,000 excess of 50,000 as of December 31, 2023.</t>
    </r>
  </si>
  <si>
    <t>IBNR 200,000 limit</t>
  </si>
  <si>
    <t>Utimate 200,000 limit</t>
  </si>
  <si>
    <t>ILF factor trended to 7/1/2023</t>
  </si>
  <si>
    <t>Trend period</t>
  </si>
  <si>
    <t>Annual trend</t>
  </si>
  <si>
    <t>AY 2021</t>
  </si>
  <si>
    <t>AY 2022</t>
  </si>
  <si>
    <t>AY 2023</t>
  </si>
  <si>
    <r>
      <t>(</t>
    </r>
    <r>
      <rPr>
        <i/>
        <sz val="12"/>
        <color rgb="FF002060"/>
        <rFont val="Times New Roman"/>
        <family val="1"/>
      </rPr>
      <t>1 point</t>
    </r>
    <r>
      <rPr>
        <sz val="12"/>
        <color rgb="FF002060"/>
        <rFont val="Times New Roman"/>
        <family val="1"/>
      </rPr>
      <t>)  Calculate the IBNR as of December 31, 2023 by AY for the 200,000 limit using the ILF method.</t>
    </r>
  </si>
  <si>
    <t>Claims trend 200k limit</t>
  </si>
  <si>
    <r>
      <t>·</t>
    </r>
    <r>
      <rPr>
        <sz val="7"/>
        <color theme="4" tint="-0.499984740745262"/>
        <rFont val="Times New Roman"/>
        <family val="1"/>
      </rPr>
      <t xml:space="preserve">       </t>
    </r>
    <r>
      <rPr>
        <sz val="12"/>
        <color theme="4" tint="-0.499984740745262"/>
        <rFont val="Times New Roman"/>
        <family val="1"/>
      </rPr>
      <t>The annual trend for claims at a 200,000 limit is 2.7%.</t>
    </r>
  </si>
  <si>
    <t>Claims trend 100k limit</t>
  </si>
  <si>
    <r>
      <t>·</t>
    </r>
    <r>
      <rPr>
        <sz val="7"/>
        <color theme="4" tint="-0.499984740745262"/>
        <rFont val="Times New Roman"/>
        <family val="1"/>
      </rPr>
      <t xml:space="preserve">       </t>
    </r>
    <r>
      <rPr>
        <sz val="12"/>
        <color theme="4" tint="-0.499984740745262"/>
        <rFont val="Times New Roman"/>
        <family val="1"/>
      </rPr>
      <t>The annual trend for claims at a 100,000 limit is 1.8%.</t>
    </r>
  </si>
  <si>
    <t>Cost level</t>
  </si>
  <si>
    <r>
      <t>·</t>
    </r>
    <r>
      <rPr>
        <sz val="7"/>
        <color theme="4" tint="-0.499984740745262"/>
        <rFont val="Times New Roman"/>
        <family val="1"/>
      </rPr>
      <t xml:space="preserve">       </t>
    </r>
    <r>
      <rPr>
        <sz val="12"/>
        <color theme="4" tint="-0.499984740745262"/>
        <rFont val="Times New Roman"/>
        <family val="1"/>
      </rPr>
      <t>The ILF applicable to claims at a 200,000 limit relative to a 100,000 limit is 1.58 at the January 1, 2021 cost level.</t>
    </r>
  </si>
  <si>
    <t>ILF</t>
  </si>
  <si>
    <t xml:space="preserve">You are given the following additional information: </t>
  </si>
  <si>
    <t xml:space="preserve">The increased limit factor (ILF) method is an alternative method to estimate IBNR for claims at increased limits. </t>
  </si>
  <si>
    <t xml:space="preserve">Actuarial judgement is needed when using Siewert's formulas because the estimated relativities at alternative limits can result in unusual cumulative development factors. 
The following results from part (a) are unusual:
• The calculated CDF at 200k limit for 24 months is lower than that for 36 months. 
• The calculated CDF at 200k limit for 24 months is lower than that CDF at 100k limit for 24 months. 
</t>
  </si>
  <si>
    <r>
      <t>(</t>
    </r>
    <r>
      <rPr>
        <i/>
        <sz val="12"/>
        <color rgb="FF002060"/>
        <rFont val="Times New Roman"/>
        <family val="1"/>
      </rPr>
      <t>1.5 points</t>
    </r>
    <r>
      <rPr>
        <sz val="12"/>
        <color rgb="FF002060"/>
        <rFont val="Times New Roman"/>
        <family val="1"/>
      </rPr>
      <t>)  Explain why actuarial judgement is needed when using Siewert's formula based on the results in part (a).</t>
    </r>
  </si>
  <si>
    <t>IBNR for 200,000 limit</t>
  </si>
  <si>
    <t>CDF 200,000 limit</t>
  </si>
  <si>
    <t>CDF Unlimited</t>
  </si>
  <si>
    <r>
      <t>(</t>
    </r>
    <r>
      <rPr>
        <i/>
        <sz val="12"/>
        <color rgb="FF002060"/>
        <rFont val="Times New Roman"/>
        <family val="1"/>
      </rPr>
      <t>1.5 points</t>
    </r>
    <r>
      <rPr>
        <sz val="12"/>
        <color rgb="FF002060"/>
        <rFont val="Times New Roman"/>
        <family val="1"/>
      </rPr>
      <t>)  Calculate the the IBNR as of December 31, 2023 by AY for the 200,000 limit using Siewert’s formula.</t>
    </r>
  </si>
  <si>
    <t>200,000 to Unlimited</t>
  </si>
  <si>
    <t>100,000 to Unlimited</t>
  </si>
  <si>
    <t>60 to 72</t>
  </si>
  <si>
    <t>48 to 60</t>
  </si>
  <si>
    <t>36 to 48</t>
  </si>
  <si>
    <t>24 to 36</t>
  </si>
  <si>
    <t>12 to 24</t>
  </si>
  <si>
    <t>Severity Relativity (Rt)</t>
  </si>
  <si>
    <t>You are given the following severity relativities based on industry data.</t>
  </si>
  <si>
    <t>Siewert’s formula is to be used for the 200,000 limit because the data at that limit does not provide any information for development beyond 36 months.</t>
  </si>
  <si>
    <r>
      <t>·</t>
    </r>
    <r>
      <rPr>
        <sz val="7"/>
        <color theme="4" tint="-0.499984740745262"/>
        <rFont val="Times New Roman"/>
        <family val="1"/>
      </rPr>
      <t xml:space="preserve">       </t>
    </r>
    <r>
      <rPr>
        <sz val="12"/>
        <color theme="4" tint="-0.499984740745262"/>
        <rFont val="Times New Roman"/>
        <family val="1"/>
      </rPr>
      <t>There is no development beyond 72 months.</t>
    </r>
  </si>
  <si>
    <r>
      <t>·</t>
    </r>
    <r>
      <rPr>
        <sz val="7"/>
        <color theme="4" tint="-0.499984740745262"/>
        <rFont val="Times New Roman"/>
        <family val="1"/>
      </rPr>
      <t xml:space="preserve">       </t>
    </r>
    <r>
      <rPr>
        <sz val="12"/>
        <color theme="4" tint="-0.499984740745262"/>
        <rFont val="Times New Roman"/>
        <family val="1"/>
      </rPr>
      <t>Claims at the 200,000 limit are from 2021 as that is when the insurer began writing 200,000 limit policies.</t>
    </r>
  </si>
  <si>
    <t>Reported</t>
  </si>
  <si>
    <t>AY 
2018</t>
  </si>
  <si>
    <t>AY 
2019</t>
  </si>
  <si>
    <t>AY 
2020</t>
  </si>
  <si>
    <t>AY 
2021</t>
  </si>
  <si>
    <t>AY 
2022</t>
  </si>
  <si>
    <t>AY 
2023</t>
  </si>
  <si>
    <t>Amounts for Claims at
100,000 Limit (As of Year-End 2023, in 000)</t>
  </si>
  <si>
    <t>CDF = Cumulative Development Factor</t>
  </si>
  <si>
    <t>Selected CDF</t>
  </si>
  <si>
    <t>60 to Ult</t>
  </si>
  <si>
    <t>48 to Ult</t>
  </si>
  <si>
    <t>36 to Ult</t>
  </si>
  <si>
    <t>24 to Ult</t>
  </si>
  <si>
    <t>12 to Ult</t>
  </si>
  <si>
    <t>Average Factor</t>
  </si>
  <si>
    <t>72 to Ultimate (Ult)</t>
  </si>
  <si>
    <t>Age-to-Age factors for 100,000 limit</t>
  </si>
  <si>
    <t>Accident 
Year
(AY)</t>
  </si>
  <si>
    <r>
      <t>(</t>
    </r>
    <r>
      <rPr>
        <i/>
        <sz val="12"/>
        <color rgb="FF002060"/>
        <rFont val="Times New Roman"/>
        <family val="1"/>
      </rPr>
      <t>4 points</t>
    </r>
    <r>
      <rPr>
        <sz val="12"/>
        <color rgb="FF002060"/>
        <rFont val="Times New Roman"/>
        <family val="1"/>
      </rPr>
      <t>)   You are given the following:</t>
    </r>
  </si>
  <si>
    <t xml:space="preserve">Profits (Equity) in the unexpired policy </t>
  </si>
  <si>
    <t>Total Premium Liabilities</t>
  </si>
  <si>
    <t>Profit-sharing Commissions</t>
  </si>
  <si>
    <t>Maintenance Expenses</t>
  </si>
  <si>
    <t>Total Expected Claims and LAE</t>
  </si>
  <si>
    <t>Expected ULAE (000)</t>
  </si>
  <si>
    <t>Expected Claims (000)</t>
  </si>
  <si>
    <t>Unearned Premiums (000)</t>
  </si>
  <si>
    <t>Net of Reinsurance</t>
    <phoneticPr fontId="0" type="noConversion"/>
  </si>
  <si>
    <t>Gross of Reinsurance</t>
    <phoneticPr fontId="0" type="noConversion"/>
  </si>
  <si>
    <t>Expected ULAE for premium liabilities net of reinsurance =</t>
  </si>
  <si>
    <t xml:space="preserve">Expected ULAE for premium liabilities gross of reinsurance = </t>
  </si>
  <si>
    <t>Remaining time of policies as of Jun. 30, 2020:</t>
  </si>
  <si>
    <t>Total</t>
    <phoneticPr fontId="0" type="noConversion"/>
  </si>
  <si>
    <t>Automobile</t>
    <phoneticPr fontId="0" type="noConversion"/>
  </si>
  <si>
    <t>General Liability</t>
  </si>
  <si>
    <t>Property</t>
    <phoneticPr fontId="0" type="noConversion"/>
  </si>
  <si>
    <t>Gross Expected Claims (000)</t>
  </si>
  <si>
    <t>Gross Unearned Premium (000) as of Jun 30, 2020</t>
  </si>
  <si>
    <t>Line of Business</t>
    <phoneticPr fontId="0" type="noConversion"/>
  </si>
  <si>
    <t>ANSWER:</t>
  </si>
  <si>
    <t>(2.5 points)  Calculate the equity in unearned premiums as of June 30, 2020, net of reinsurance.</t>
  </si>
  <si>
    <t>Incentive commissions are 3.2% of gross premiums.</t>
  </si>
  <si>
    <t>·</t>
  </si>
  <si>
    <t>30% of  general expenses are associated with ongoing maintenance for unexpired risks.</t>
  </si>
  <si>
    <t>General expenses are 16% of gross written premiums.</t>
  </si>
  <si>
    <t>ULAE is 12.9% of gross claims (including ALAE).</t>
  </si>
  <si>
    <t>There is a 25% quota share reinsurance treaty.</t>
  </si>
  <si>
    <t>All policies were written on March 1, 2020 and are for 12-month terms.</t>
  </si>
  <si>
    <t>Automobile</t>
  </si>
  <si>
    <t>Property</t>
  </si>
  <si>
    <t>Gross Expected Claim Ratios including ALAE</t>
  </si>
  <si>
    <t>Gross Written Premium (000)</t>
  </si>
  <si>
    <t>Line of Business</t>
  </si>
  <si>
    <t>You are estimating the policy liabilities for an insurer that started writing business on March 1, 2020.  You have decided to use the claims approach and are given the following additional information:</t>
  </si>
  <si>
    <t>The response for part (c) is to be provided in the Word document.</t>
  </si>
  <si>
    <t>The response for part (b) is to be provided in the Word document.</t>
  </si>
  <si>
    <t>The response for part (a) is to be provided in the Word document.</t>
  </si>
  <si>
    <r>
      <t>(</t>
    </r>
    <r>
      <rPr>
        <i/>
        <sz val="12"/>
        <color rgb="FF002060"/>
        <rFont val="Times New Roman"/>
        <family val="1"/>
      </rPr>
      <t>5 points</t>
    </r>
    <r>
      <rPr>
        <sz val="12"/>
        <color rgb="FF002060"/>
        <rFont val="Times New Roman"/>
        <family val="1"/>
      </rPr>
      <t>)</t>
    </r>
  </si>
  <si>
    <t>Question 8</t>
  </si>
  <si>
    <t xml:space="preserve">Equity in unearned premiums = UEP - Premium liabilities = </t>
  </si>
  <si>
    <r>
      <t>(</t>
    </r>
    <r>
      <rPr>
        <i/>
        <sz val="12"/>
        <color rgb="FF002060"/>
        <rFont val="Times New Roman"/>
        <family val="1"/>
      </rPr>
      <t>0.5 points</t>
    </r>
    <r>
      <rPr>
        <sz val="12"/>
        <color rgb="FF002060"/>
        <rFont val="Times New Roman"/>
        <family val="1"/>
      </rPr>
      <t>)  Determine the equity in unearned premiums.</t>
    </r>
  </si>
  <si>
    <t>Premium liabilities</t>
  </si>
  <si>
    <t>Incentive commissions</t>
  </si>
  <si>
    <t>General expenses</t>
  </si>
  <si>
    <t>ULAE</t>
  </si>
  <si>
    <t>Expected claims</t>
  </si>
  <si>
    <t>Selected claim ratios</t>
  </si>
  <si>
    <t>Unearned premiums</t>
  </si>
  <si>
    <t>Net</t>
  </si>
  <si>
    <t>Gross</t>
  </si>
  <si>
    <t>Liability</t>
  </si>
  <si>
    <t>Incentive Commission Ratio</t>
  </si>
  <si>
    <t>General expenses applicable to unearned premium</t>
  </si>
  <si>
    <t>General Expense Ratio</t>
  </si>
  <si>
    <t>ULAE Ratio</t>
  </si>
  <si>
    <r>
      <t>(</t>
    </r>
    <r>
      <rPr>
        <i/>
        <sz val="12"/>
        <color rgb="FF002060"/>
        <rFont val="Times New Roman"/>
        <family val="1"/>
      </rPr>
      <t>2 points</t>
    </r>
    <r>
      <rPr>
        <sz val="12"/>
        <color rgb="FF002060"/>
        <rFont val="Times New Roman"/>
        <family val="1"/>
      </rPr>
      <t>)  Calculate the premium liabilities, both gross and net of reinsurance.</t>
    </r>
  </si>
  <si>
    <t xml:space="preserve"> - The selected incentive commission ratio is 3% of gross premiums. </t>
  </si>
  <si>
    <t xml:space="preserve"> - The proportion of general expenses applicable to unearned premiums is 25%.</t>
  </si>
  <si>
    <t xml:space="preserve"> - The selected general expense ratio is 15% of gross written premiums.</t>
  </si>
  <si>
    <t xml:space="preserve"> - ULAE is 10% of claims (including ALAE), which is not covered by reinsurance.</t>
  </si>
  <si>
    <t>The following information is provided:</t>
  </si>
  <si>
    <t>Liability has rising trend, so recommend using the latest year.  [Could even project out a year].</t>
  </si>
  <si>
    <t xml:space="preserve">	Property gross and net are stable with little discernible trend, so the average used._x000D_
</t>
  </si>
  <si>
    <t>Justification:</t>
  </si>
  <si>
    <t>Selected Claim Ratio</t>
  </si>
  <si>
    <r>
      <t>(</t>
    </r>
    <r>
      <rPr>
        <i/>
        <sz val="12"/>
        <color rgb="FF002060"/>
        <rFont val="Times New Roman"/>
        <family val="1"/>
      </rPr>
      <t>1.5 points</t>
    </r>
    <r>
      <rPr>
        <sz val="12"/>
        <color rgb="FF002060"/>
        <rFont val="Times New Roman"/>
        <family val="1"/>
      </rPr>
      <t>)  Recommend expected claim ratios for each line of business, gross and net of reinsurance, that will be used in the determination of premium liabilities as of December 31, 2020.  Justify each recommendation.</t>
    </r>
  </si>
  <si>
    <t>Ultimate Claim Ratios including ALAE</t>
  </si>
  <si>
    <t>Calendar Year</t>
  </si>
  <si>
    <t>Earned Premiums</t>
  </si>
  <si>
    <r>
      <t>(</t>
    </r>
    <r>
      <rPr>
        <i/>
        <sz val="12"/>
        <color rgb="FF002060"/>
        <rFont val="Times New Roman"/>
        <family val="1"/>
      </rPr>
      <t>1 point</t>
    </r>
    <r>
      <rPr>
        <sz val="12"/>
        <color rgb="FF002060"/>
        <rFont val="Times New Roman"/>
        <family val="1"/>
      </rPr>
      <t>)  Verify the calculation of ultimate claim ratios.</t>
    </r>
  </si>
  <si>
    <t>Ultimate Claim Ratios including ALAE – Accident Year</t>
  </si>
  <si>
    <t>Ultimate Claims including ALAE (000) – Accident Year</t>
  </si>
  <si>
    <t>Unearned Premiums (000) as of December 31 Each Year</t>
  </si>
  <si>
    <t>Written Premiums (000) – Calendar Year</t>
  </si>
  <si>
    <t>You are provided with the following information:</t>
  </si>
  <si>
    <t>You are reviewing premium liabilities as of December 31, 2020.</t>
  </si>
  <si>
    <t>Question 7</t>
  </si>
  <si>
    <t>General Liability rates appear to be inadequate and should be reviewed.</t>
  </si>
  <si>
    <t>A premium deficiency reserve may be required for the company.</t>
  </si>
  <si>
    <r>
      <t>(</t>
    </r>
    <r>
      <rPr>
        <i/>
        <sz val="12"/>
        <color rgb="FF002060"/>
        <rFont val="Times New Roman"/>
        <family val="1"/>
      </rPr>
      <t>0.5 points</t>
    </r>
    <r>
      <rPr>
        <sz val="12"/>
        <color rgb="FF002060"/>
        <rFont val="Times New Roman"/>
        <family val="1"/>
      </rPr>
      <t>)  Describe two potential implications of this result.</t>
    </r>
  </si>
  <si>
    <t>Additionally, a colleague has calculated the equity in the unearned premiums for the general liability line of business and the result is a large negative number.  LMN Insurance Company writes no other lines of business besides auto, homeowners, and general liability.</t>
  </si>
  <si>
    <t xml:space="preserve">Equity/(Deficiency) </t>
  </si>
  <si>
    <t xml:space="preserve">Net premium liabilities </t>
  </si>
  <si>
    <t>Maintenance expenses</t>
  </si>
  <si>
    <t>Homeowners</t>
  </si>
  <si>
    <t>Auto</t>
  </si>
  <si>
    <t>Auto expected claims:</t>
  </si>
  <si>
    <t>Expected Claims</t>
  </si>
  <si>
    <t>Gross Expected Claim Ratios</t>
  </si>
  <si>
    <t>2020Q4</t>
  </si>
  <si>
    <t>2020Q3</t>
  </si>
  <si>
    <t>2020Q2</t>
  </si>
  <si>
    <t>2020Q1</t>
  </si>
  <si>
    <t>Q4</t>
  </si>
  <si>
    <t>Q3</t>
  </si>
  <si>
    <t>Q2</t>
  </si>
  <si>
    <t>Q1</t>
  </si>
  <si>
    <t>Underwriting Quarter</t>
  </si>
  <si>
    <t>2021 Unearned Premiums Allocated to Accident Quarter</t>
  </si>
  <si>
    <t>Total Months Unexpired</t>
  </si>
  <si>
    <t>2021 Unexpired Months Allocated to Accident Quarter</t>
  </si>
  <si>
    <r>
      <t>(</t>
    </r>
    <r>
      <rPr>
        <i/>
        <sz val="12"/>
        <color rgb="FF002060"/>
        <rFont val="Times New Roman"/>
        <family val="1"/>
      </rPr>
      <t>2.5 points</t>
    </r>
    <r>
      <rPr>
        <sz val="12"/>
        <color rgb="FF002060"/>
        <rFont val="Times New Roman"/>
        <family val="1"/>
      </rPr>
      <t>)  Calculate the equity in unearned premiums as of December 31, 2020 by line of business.</t>
    </r>
  </si>
  <si>
    <t>·       One-third of general expenses are associated with ongoing policy administration and maintenance.</t>
  </si>
  <si>
    <t>of written premiums</t>
  </si>
  <si>
    <t>Selected general expense ratio</t>
  </si>
  <si>
    <t>Policy acquisition costs</t>
  </si>
  <si>
    <t>of claims for homeowners</t>
  </si>
  <si>
    <t>of claims for automobile</t>
  </si>
  <si>
    <t>·       The company does not purchase reinsurance.</t>
  </si>
  <si>
    <t xml:space="preserve">·       The higher expected claim ratio for homeowners in 2021Q3 reflects hurricane season.  </t>
  </si>
  <si>
    <t>2021Q4</t>
  </si>
  <si>
    <t>2021Q3</t>
  </si>
  <si>
    <t>2021Q2</t>
  </si>
  <si>
    <t>2021Q1</t>
  </si>
  <si>
    <t>Accident Year 2021 Expected Claim Ratios by Quarter</t>
  </si>
  <si>
    <t>Accident Year 2020 Actual Claim Ratios by Quarter</t>
  </si>
  <si>
    <t>You are estimating policy liabilities as of December 31, 2020 and are given the following information:</t>
  </si>
  <si>
    <t>Unearned Premiums at Dec. 31, 2020</t>
  </si>
  <si>
    <t>Unearned Proportion</t>
  </si>
  <si>
    <t>Months Remaining at Dec. 31, 2020</t>
  </si>
  <si>
    <t>UEP by Quarter</t>
  </si>
  <si>
    <r>
      <t>(</t>
    </r>
    <r>
      <rPr>
        <i/>
        <sz val="12"/>
        <color rgb="FF002060"/>
        <rFont val="Times New Roman"/>
        <family val="1"/>
      </rPr>
      <t>1 point</t>
    </r>
    <r>
      <rPr>
        <sz val="12"/>
        <color rgb="FF002060"/>
        <rFont val="Times New Roman"/>
        <family val="1"/>
      </rPr>
      <t>)  Calculate unearned premium by line of business as of December 31, 2020.</t>
    </r>
  </si>
  <si>
    <t>·       There are no policy cancellations.</t>
  </si>
  <si>
    <t>·       Assume each quarter has the same number of days.</t>
  </si>
  <si>
    <t>·       All policies are written for 12-month policy terms and are written and earned evenly throughout the year.</t>
  </si>
  <si>
    <t>Written Premiums During 2020</t>
  </si>
  <si>
    <t>You are the appointed actuary for LMN Insurance Company, and you are given the following information:</t>
  </si>
  <si>
    <r>
      <t>(</t>
    </r>
    <r>
      <rPr>
        <i/>
        <sz val="12"/>
        <color rgb="FF002060"/>
        <rFont val="Times New Roman"/>
        <family val="1"/>
      </rPr>
      <t>4 points</t>
    </r>
    <r>
      <rPr>
        <sz val="12"/>
        <color rgb="FF002060"/>
        <rFont val="Times New Roman"/>
        <family val="1"/>
      </rPr>
      <t>)</t>
    </r>
  </si>
  <si>
    <t>Total premium liabilities</t>
  </si>
  <si>
    <t>Expected ULAE</t>
  </si>
  <si>
    <t>Expected claim ratio</t>
  </si>
  <si>
    <t>Unearned premium reserve</t>
  </si>
  <si>
    <r>
      <t>(</t>
    </r>
    <r>
      <rPr>
        <i/>
        <sz val="12"/>
        <color rgb="FF002060"/>
        <rFont val="Times New Roman"/>
        <family val="1"/>
      </rPr>
      <t>1.5 points</t>
    </r>
    <r>
      <rPr>
        <sz val="12"/>
        <color rgb="FF002060"/>
        <rFont val="Times New Roman"/>
        <family val="1"/>
      </rPr>
      <t>)   Calculate the premium liabilities as of December 31, 2021, both gross and net of reinsurance.</t>
    </r>
  </si>
  <si>
    <t>Weighted average expected claim ratio:</t>
  </si>
  <si>
    <t xml:space="preserve">   Earned in 2022-2</t>
  </si>
  <si>
    <t xml:space="preserve">   Earned in 2022-1</t>
  </si>
  <si>
    <t>Claim trend factors:</t>
  </si>
  <si>
    <t>Average accident dates in 2022:</t>
  </si>
  <si>
    <t>Average accident dates in 2021:</t>
  </si>
  <si>
    <t xml:space="preserve">   Total</t>
  </si>
  <si>
    <t>Policies Written in 2021-2</t>
  </si>
  <si>
    <t>Policies Written in 2021-1</t>
  </si>
  <si>
    <t>Unearned premiums at Dec. 31, 2021</t>
  </si>
  <si>
    <t>2021-2</t>
  </si>
  <si>
    <t>2021-1</t>
  </si>
  <si>
    <t>2020-2</t>
  </si>
  <si>
    <t>2020-1</t>
  </si>
  <si>
    <t>2019-2</t>
  </si>
  <si>
    <t>2019-1</t>
  </si>
  <si>
    <t>July-Dec</t>
  </si>
  <si>
    <t>Jan-Jun</t>
  </si>
  <si>
    <t>Claim Trend</t>
  </si>
  <si>
    <t># of Years for Past Trend (years)</t>
  </si>
  <si>
    <t>Claim Ratio</t>
  </si>
  <si>
    <t>Ultimate Claims including ALAE</t>
  </si>
  <si>
    <t xml:space="preserve">Calendar/ Accident  Half Year </t>
  </si>
  <si>
    <t>Trended to 2021 Cost Level Claim Ratio</t>
  </si>
  <si>
    <r>
      <t>(</t>
    </r>
    <r>
      <rPr>
        <i/>
        <sz val="12"/>
        <color rgb="FF002060"/>
        <rFont val="Times New Roman"/>
        <family val="1"/>
      </rPr>
      <t>2.5 points</t>
    </r>
    <r>
      <rPr>
        <sz val="12"/>
        <color rgb="FF002060"/>
        <rFont val="Times New Roman"/>
        <family val="1"/>
      </rPr>
      <t xml:space="preserve">)  Recommend the expected claim ratio to be used in the determination of premium liabilities as of December 31, 2021.  Justify your recommendation. </t>
    </r>
  </si>
  <si>
    <t>This value is consistent.</t>
  </si>
  <si>
    <t>Written Premiums 2021-2</t>
  </si>
  <si>
    <t>Written Premiums 2021-1</t>
  </si>
  <si>
    <t>Earned Premiums 2021-1</t>
  </si>
  <si>
    <t>% Earned in 2021-1</t>
  </si>
  <si>
    <t>Written Premiums</t>
  </si>
  <si>
    <t>Year-end 2021 gross unearned premiums of 515,716</t>
  </si>
  <si>
    <t>Calendar half-year 2021‑1 gross earned premium of 510,927</t>
  </si>
  <si>
    <r>
      <t>(</t>
    </r>
    <r>
      <rPr>
        <i/>
        <sz val="12"/>
        <color rgb="FF002060"/>
        <rFont val="Times New Roman"/>
        <family val="1"/>
      </rPr>
      <t>1 point</t>
    </r>
    <r>
      <rPr>
        <sz val="12"/>
        <color rgb="FF002060"/>
        <rFont val="Times New Roman"/>
        <family val="1"/>
      </rPr>
      <t xml:space="preserve">)  Verify that the following amounts are consistent with the written premiums provided: </t>
    </r>
  </si>
  <si>
    <t xml:space="preserve"> as of December 31, 2021. </t>
  </si>
  <si>
    <t xml:space="preserve">• The gross unearned premiums are </t>
  </si>
  <si>
    <t xml:space="preserve">• Claim frequency is significantly higher in the first half of any year. </t>
  </si>
  <si>
    <t>• The annual claim trend is</t>
  </si>
  <si>
    <t xml:space="preserve">• The proportion of general expenses applicable to unearned premiums </t>
  </si>
  <si>
    <t xml:space="preserve"> of gross written premiums.</t>
  </si>
  <si>
    <t>• The selected general expense ratio is</t>
  </si>
  <si>
    <t xml:space="preserve"> of gross claims (including ALAE).</t>
  </si>
  <si>
    <t xml:space="preserve">• ULAE is </t>
  </si>
  <si>
    <t>• Policies are written evenly throughout the year.</t>
  </si>
  <si>
    <t>• There have been no rate changes since January 1, 2017.</t>
  </si>
  <si>
    <t>• The company only writes 12-month fire insurance policies.</t>
  </si>
  <si>
    <t>• Each year, the company renews quota share reinsurance on its gross business (premiums and claims including ALAE) ceding 25% to a reinsurer.</t>
  </si>
  <si>
    <t>• The amounts in the table are before any reinsurance.</t>
  </si>
  <si>
    <t>You are estimating premium liabilities for a company as of December 31, 2021, and are given the following information:</t>
  </si>
  <si>
    <t>Question 14</t>
  </si>
  <si>
    <t>Deficiency</t>
  </si>
  <si>
    <t>Equity/(deficiency)</t>
  </si>
  <si>
    <t>Premium Liabilities</t>
  </si>
  <si>
    <t>Catastrophe reinsurance cost</t>
  </si>
  <si>
    <t>Claim ratio</t>
  </si>
  <si>
    <t>Unearned Premium</t>
  </si>
  <si>
    <r>
      <t>(</t>
    </r>
    <r>
      <rPr>
        <i/>
        <sz val="12"/>
        <color rgb="FF002060"/>
        <rFont val="Times New Roman"/>
        <family val="1"/>
      </rPr>
      <t>1 point</t>
    </r>
    <r>
      <rPr>
        <sz val="12"/>
        <color rgb="FF002060"/>
        <rFont val="Times New Roman"/>
        <family val="1"/>
      </rPr>
      <t>)  Recalculate the premium deficiency reserve or equity in the unearned premium as of December 31, 2021, incorporating this legislative change.</t>
    </r>
  </si>
  <si>
    <t xml:space="preserve">Recent legislative changes will increase the cost of all claims incurred after December 31, 2021 by </t>
  </si>
  <si>
    <t>Equity</t>
  </si>
  <si>
    <r>
      <t>(</t>
    </r>
    <r>
      <rPr>
        <i/>
        <sz val="12"/>
        <color rgb="FF002060"/>
        <rFont val="Times New Roman"/>
        <family val="1"/>
      </rPr>
      <t>3 points</t>
    </r>
    <r>
      <rPr>
        <sz val="12"/>
        <color rgb="FF002060"/>
        <rFont val="Times New Roman"/>
        <family val="1"/>
      </rPr>
      <t>)  Calculate the premium deficiency reserve or equity in the unearned premium as of December 31, 2021.</t>
    </r>
  </si>
  <si>
    <t xml:space="preserve"> of net earned premium.  The impact on the claim ratio is expected to be negligible. </t>
  </si>
  <si>
    <t xml:space="preserve"> in 2022 and apply after the quota share treaty.  The cost of the catastrophe reinsurance will be </t>
  </si>
  <si>
    <t>A new catastrophe excess of loss reinsurance policy will be added effective January 1, 2022.  This will cover claims incurred</t>
  </si>
  <si>
    <r>
      <t>·</t>
    </r>
    <r>
      <rPr>
        <sz val="7"/>
        <color rgb="FF002060"/>
        <rFont val="Times New Roman"/>
        <family val="1"/>
      </rPr>
      <t xml:space="preserve">       </t>
    </r>
    <r>
      <rPr>
        <sz val="12"/>
        <color rgb="FF002060"/>
        <rFont val="Times New Roman"/>
        <family val="1"/>
      </rPr>
      <t xml:space="preserve">The proportion of general expense applicable to unearned premium is </t>
    </r>
  </si>
  <si>
    <t>of gross premium.</t>
  </si>
  <si>
    <r>
      <t>·</t>
    </r>
    <r>
      <rPr>
        <sz val="7"/>
        <color rgb="FF002060"/>
        <rFont val="Times New Roman"/>
        <family val="1"/>
      </rPr>
      <t xml:space="preserve">       </t>
    </r>
    <r>
      <rPr>
        <sz val="12"/>
        <color rgb="FF002060"/>
        <rFont val="Times New Roman"/>
        <family val="1"/>
      </rPr>
      <t>The general expense ratio is</t>
    </r>
  </si>
  <si>
    <t>of gross claims including ALAE.</t>
  </si>
  <si>
    <r>
      <t>·</t>
    </r>
    <r>
      <rPr>
        <sz val="7"/>
        <color rgb="FF002060"/>
        <rFont val="Times New Roman"/>
        <family val="1"/>
      </rPr>
      <t xml:space="preserve">       </t>
    </r>
    <r>
      <rPr>
        <sz val="12"/>
        <color rgb="FF002060"/>
        <rFont val="Times New Roman"/>
        <family val="1"/>
      </rPr>
      <t xml:space="preserve">ULAE is estimated at </t>
    </r>
  </si>
  <si>
    <r>
      <t>·</t>
    </r>
    <r>
      <rPr>
        <sz val="7"/>
        <color rgb="FF002060"/>
        <rFont val="Times New Roman"/>
        <family val="1"/>
      </rPr>
      <t xml:space="preserve">       </t>
    </r>
    <r>
      <rPr>
        <sz val="12"/>
        <color rgb="FF002060"/>
        <rFont val="Times New Roman"/>
        <family val="1"/>
      </rPr>
      <t>Reinsurance does not cover ULAE or general expenses.</t>
    </r>
  </si>
  <si>
    <t>quota share treaty covering policies written in 2021.</t>
  </si>
  <si>
    <r>
      <t>·</t>
    </r>
    <r>
      <rPr>
        <sz val="7"/>
        <color rgb="FF002060"/>
        <rFont val="Times New Roman"/>
        <family val="1"/>
      </rPr>
      <t xml:space="preserve">       </t>
    </r>
    <r>
      <rPr>
        <sz val="12"/>
        <color rgb="FF002060"/>
        <rFont val="Times New Roman"/>
        <family val="1"/>
      </rPr>
      <t>The only reinsurance in force during 2021 was a</t>
    </r>
  </si>
  <si>
    <r>
      <t>·</t>
    </r>
    <r>
      <rPr>
        <sz val="7"/>
        <color rgb="FF002060"/>
        <rFont val="Times New Roman"/>
        <family val="1"/>
      </rPr>
      <t xml:space="preserve">       </t>
    </r>
    <r>
      <rPr>
        <sz val="12"/>
        <color rgb="FF002060"/>
        <rFont val="Times New Roman"/>
        <family val="1"/>
      </rPr>
      <t>Policies are annual and are written uniformly throughout the year.</t>
    </r>
  </si>
  <si>
    <t>Selected Ultimate Claims Ratio, including ALAE</t>
  </si>
  <si>
    <t>Gross Unearned Premium</t>
  </si>
  <si>
    <t>You are calculating premium liabilities as of December 31, 2021 for ABC Insurance.  You are given the following information:</t>
  </si>
  <si>
    <t>Question 9</t>
  </si>
  <si>
    <t>Consolidated CoV</t>
  </si>
  <si>
    <t>Provide your work for part (d) below. Ensure your answer is in the highlighted cell below.</t>
  </si>
  <si>
    <t>Assume independence between each of the sources of uncertainty.</t>
  </si>
  <si>
    <r>
      <t>(d)</t>
    </r>
    <r>
      <rPr>
        <sz val="7"/>
        <color theme="8" tint="-0.499984740745262"/>
        <rFont val="Times New Roman"/>
        <family val="1"/>
      </rPr>
      <t xml:space="preserve">               </t>
    </r>
    <r>
      <rPr>
        <sz val="12"/>
        <color theme="8" tint="-0.499984740745262"/>
        <rFont val="Times New Roman"/>
        <family val="1"/>
      </rPr>
      <t>(</t>
    </r>
    <r>
      <rPr>
        <i/>
        <sz val="12"/>
        <color theme="8" tint="-0.499984740745262"/>
        <rFont val="Times New Roman"/>
        <family val="1"/>
      </rPr>
      <t>0.5 points</t>
    </r>
    <r>
      <rPr>
        <sz val="12"/>
        <color theme="8" tint="-0.499984740745262"/>
        <rFont val="Times New Roman"/>
        <family val="1"/>
      </rPr>
      <t xml:space="preserve">)  Calculate the consolidated coefficient of variation from the three sources of uncertainty.  </t>
    </r>
  </si>
  <si>
    <t>External Systemic Risk CoV</t>
  </si>
  <si>
    <t>Internal Systemic Risk CoV</t>
  </si>
  <si>
    <t>Independent Risk CoV</t>
  </si>
  <si>
    <t>Provide your work for part (c) below. Ensure your answers are in the highlighted cells below.</t>
  </si>
  <si>
    <r>
      <t>(c)</t>
    </r>
    <r>
      <rPr>
        <sz val="7"/>
        <color theme="8" tint="-0.499984740745262"/>
        <rFont val="Times New Roman"/>
        <family val="1"/>
      </rPr>
      <t xml:space="preserve">               </t>
    </r>
    <r>
      <rPr>
        <sz val="12"/>
        <color theme="8" tint="-0.499984740745262"/>
        <rFont val="Times New Roman"/>
        <family val="1"/>
      </rPr>
      <t>(</t>
    </r>
    <r>
      <rPr>
        <i/>
        <sz val="12"/>
        <color theme="8" tint="-0.499984740745262"/>
        <rFont val="Times New Roman"/>
        <family val="1"/>
      </rPr>
      <t>1.5 points</t>
    </r>
    <r>
      <rPr>
        <sz val="12"/>
        <color theme="8" tint="-0.499984740745262"/>
        <rFont val="Times New Roman"/>
        <family val="1"/>
      </rPr>
      <t>)  Calculate the coefficient of variation for each risk source for both lines combined.</t>
    </r>
  </si>
  <si>
    <t>External Systemic Risk</t>
  </si>
  <si>
    <t>Internal Systemic Risk</t>
  </si>
  <si>
    <t>Independent Risk</t>
  </si>
  <si>
    <t>The correlations between motor and home liabilities for each risk source are:</t>
  </si>
  <si>
    <t>Percentage of Liabilities</t>
  </si>
  <si>
    <t>Home</t>
  </si>
  <si>
    <t>Motor</t>
  </si>
  <si>
    <t>You are provided the following information about the risks associated with these lines of business:</t>
  </si>
  <si>
    <t>Responses for parts (a) and (b) are to be provided in the Word document</t>
  </si>
  <si>
    <r>
      <t>(</t>
    </r>
    <r>
      <rPr>
        <i/>
        <sz val="12"/>
        <color theme="8" tint="-0.499984740745262"/>
        <rFont val="Times New Roman"/>
        <family val="1"/>
      </rPr>
      <t>4 points</t>
    </r>
    <r>
      <rPr>
        <sz val="12"/>
        <color theme="8" tint="-0.499984740745262"/>
        <rFont val="Times New Roman"/>
        <family val="1"/>
      </rPr>
      <t>)  You are calculating a risk margin for outstanding claim liabilities as discussed in “A Framework for Assessing Risk Margins.”  There are two lines of business, motor and home.</t>
    </r>
  </si>
  <si>
    <t>Question 6</t>
  </si>
  <si>
    <r>
      <t>(</t>
    </r>
    <r>
      <rPr>
        <i/>
        <sz val="12"/>
        <color theme="8" tint="-0.499984740745262"/>
        <rFont val="Times New Roman"/>
        <family val="1"/>
      </rPr>
      <t>1 point</t>
    </r>
    <r>
      <rPr>
        <sz val="12"/>
        <color theme="8" tint="-0.499984740745262"/>
        <rFont val="Times New Roman"/>
        <family val="1"/>
      </rPr>
      <t>)  Calculate the amount of the risk margin at the 80% adequacy level.</t>
    </r>
  </si>
  <si>
    <r>
      <t>(</t>
    </r>
    <r>
      <rPr>
        <i/>
        <sz val="12"/>
        <color theme="8" tint="-0.499984740745262"/>
        <rFont val="Times New Roman"/>
        <family val="1"/>
      </rPr>
      <t>1 point</t>
    </r>
    <r>
      <rPr>
        <sz val="12"/>
        <color theme="8" tint="-0.499984740745262"/>
        <rFont val="Times New Roman"/>
        <family val="1"/>
      </rPr>
      <t>)  Calculate the aggregate coefficient of variation for both lines combined.</t>
    </r>
  </si>
  <si>
    <r>
      <t>(</t>
    </r>
    <r>
      <rPr>
        <i/>
        <sz val="12"/>
        <color theme="8" tint="-0.499984740745262"/>
        <rFont val="Times New Roman"/>
        <family val="1"/>
      </rPr>
      <t>1 point</t>
    </r>
    <r>
      <rPr>
        <sz val="12"/>
        <color theme="8" tint="-0.499984740745262"/>
        <rFont val="Times New Roman"/>
        <family val="1"/>
      </rPr>
      <t>)  Verify that the internal systemic risk coefficient of variation is 5.0% (rounded to one decimal place).</t>
    </r>
  </si>
  <si>
    <t>Z-value of the 80th percentile of the normal distribution</t>
  </si>
  <si>
    <t>•</t>
  </si>
  <si>
    <t>Claims are assumed to be normally distributed.</t>
  </si>
  <si>
    <t>Correlation between lines for external systemic risk</t>
  </si>
  <si>
    <t xml:space="preserve">Correlation between lines for internal systemic risk </t>
  </si>
  <si>
    <t>Coefficients of Variation</t>
  </si>
  <si>
    <t>Claim Liabilities</t>
  </si>
  <si>
    <t>Line of 
Business</t>
  </si>
  <si>
    <t>The risk margin is to be calculated at the 80% adequacy level and is to be based on the following sources of uncertainty, which are assumed to be mutually independent:</t>
  </si>
  <si>
    <r>
      <rPr>
        <i/>
        <sz val="12"/>
        <color theme="8" tint="-0.499984740745262"/>
        <rFont val="Times New Roman"/>
        <family val="1"/>
      </rPr>
      <t>(4 points</t>
    </r>
    <r>
      <rPr>
        <sz val="12"/>
        <color theme="8" tint="-0.499984740745262"/>
        <rFont val="Times New Roman"/>
        <family val="1"/>
      </rPr>
      <t xml:space="preserve">)  You are calculating a risk margin for claim liabilities using the methodology set out in “A Framework for Assessing Risk Margins.”  </t>
    </r>
  </si>
  <si>
    <t>Response for part (d) is to be provided in the Word document</t>
  </si>
  <si>
    <t>Risk Margin</t>
  </si>
  <si>
    <t>Total CoV</t>
  </si>
  <si>
    <r>
      <t>(</t>
    </r>
    <r>
      <rPr>
        <i/>
        <sz val="12"/>
        <color theme="8" tint="-0.499984740745262"/>
        <rFont val="Times New Roman"/>
        <family val="1"/>
      </rPr>
      <t>1 point</t>
    </r>
    <r>
      <rPr>
        <sz val="12"/>
        <color theme="8" tint="-0.499984740745262"/>
        <rFont val="Times New Roman"/>
        <family val="1"/>
      </rPr>
      <t>)  Calculate the amount of the risk margin for the total insurance liabilities at the 75% adequacy level.</t>
    </r>
  </si>
  <si>
    <t>CoV by risk source</t>
  </si>
  <si>
    <t>External Systemic</t>
  </si>
  <si>
    <t>Internal Systemic</t>
  </si>
  <si>
    <t>Independent</t>
  </si>
  <si>
    <r>
      <t>(</t>
    </r>
    <r>
      <rPr>
        <i/>
        <sz val="12"/>
        <color theme="8" tint="-0.499984740745262"/>
        <rFont val="Times New Roman"/>
        <family val="1"/>
      </rPr>
      <t>1.5 points</t>
    </r>
    <r>
      <rPr>
        <sz val="12"/>
        <color theme="8" tint="-0.499984740745262"/>
        <rFont val="Times New Roman"/>
        <family val="1"/>
      </rPr>
      <t>)  Calculate the coefficient of variation for each risk source for the total insurance liabilities.</t>
    </r>
  </si>
  <si>
    <r>
      <t xml:space="preserve">The </t>
    </r>
    <r>
      <rPr>
        <i/>
        <sz val="12"/>
        <color theme="8" tint="-0.499984740745262"/>
        <rFont val="Times New Roman"/>
        <family val="1"/>
      </rPr>
      <t>z</t>
    </r>
    <r>
      <rPr>
        <sz val="12"/>
        <color theme="8" tint="-0.499984740745262"/>
        <rFont val="Times New Roman"/>
        <family val="1"/>
      </rPr>
      <t>-value of the 75th percentile of the normal distribution is</t>
    </r>
  </si>
  <si>
    <t>The sources of uncertainty are assumed to be mutually independent.</t>
  </si>
  <si>
    <t>Correlation between CL and PL</t>
  </si>
  <si>
    <t>External 
Systemic Risk</t>
  </si>
  <si>
    <t>Internal 
Systemic Risk</t>
  </si>
  <si>
    <t>Independent 
Risk</t>
  </si>
  <si>
    <t>Premium
Liabilities (PL)</t>
  </si>
  <si>
    <t xml:space="preserve">Outstanding Claims Liabilities (CL) </t>
  </si>
  <si>
    <t>Amount of Liabilities</t>
  </si>
  <si>
    <t>Type of 
Liabilities</t>
  </si>
  <si>
    <t>The risk margin is to be calculated at the 75% adequacy level and is to be based on the following information:</t>
  </si>
  <si>
    <r>
      <t>(</t>
    </r>
    <r>
      <rPr>
        <i/>
        <sz val="12"/>
        <color theme="8" tint="-0.499984740745262"/>
        <rFont val="Times New Roman"/>
        <family val="1"/>
      </rPr>
      <t>1 point</t>
    </r>
    <r>
      <rPr>
        <sz val="12"/>
        <color theme="8" tint="-0.499984740745262"/>
        <rFont val="Times New Roman"/>
        <family val="1"/>
      </rPr>
      <t>)  Provide two reasons why stochastic modeling techniques do not enable a complete analysis of all sources of uncertainty.</t>
    </r>
  </si>
  <si>
    <r>
      <t>(vi)</t>
    </r>
    <r>
      <rPr>
        <sz val="7"/>
        <color theme="8" tint="-0.499984740745262"/>
        <rFont val="Times New Roman"/>
        <family val="1"/>
      </rPr>
      <t xml:space="preserve">            </t>
    </r>
    <r>
      <rPr>
        <sz val="12"/>
        <color theme="8" tint="-0.499984740745262"/>
        <rFont val="Times New Roman"/>
        <family val="1"/>
      </rPr>
      <t>pure effect of the randomness associated with the insurance process</t>
    </r>
  </si>
  <si>
    <r>
      <t>(v)</t>
    </r>
    <r>
      <rPr>
        <sz val="7"/>
        <color theme="8" tint="-0.499984740745262"/>
        <rFont val="Times New Roman"/>
        <family val="1"/>
      </rPr>
      <t xml:space="preserve">             </t>
    </r>
    <r>
      <rPr>
        <sz val="12"/>
        <color theme="8" tint="-0.499984740745262"/>
        <rFont val="Times New Roman"/>
        <family val="1"/>
      </rPr>
      <t>uncertainty of claim costs arising from catastrophes</t>
    </r>
  </si>
  <si>
    <r>
      <t>(iv)</t>
    </r>
    <r>
      <rPr>
        <sz val="7"/>
        <color theme="8" tint="-0.499984740745262"/>
        <rFont val="Times New Roman"/>
        <family val="1"/>
      </rPr>
      <t xml:space="preserve">            </t>
    </r>
    <r>
      <rPr>
        <sz val="12"/>
        <color theme="8" tint="-0.499984740745262"/>
        <rFont val="Times New Roman"/>
        <family val="1"/>
      </rPr>
      <t>randomness associated with the insurance process compromising the ability to select appropriate parameters</t>
    </r>
  </si>
  <si>
    <r>
      <t>(iii)</t>
    </r>
    <r>
      <rPr>
        <sz val="7"/>
        <color theme="8" tint="-0.499984740745262"/>
        <rFont val="Times New Roman"/>
        <family val="1"/>
      </rPr>
      <t xml:space="preserve">            </t>
    </r>
    <r>
      <rPr>
        <sz val="12"/>
        <color theme="8" tint="-0.499984740745262"/>
        <rFont val="Times New Roman"/>
        <family val="1"/>
      </rPr>
      <t>unavailability of data required to conduct a credible valuation</t>
    </r>
  </si>
  <si>
    <r>
      <t>(ii)</t>
    </r>
    <r>
      <rPr>
        <sz val="7"/>
        <color theme="8" tint="-0.499984740745262"/>
        <rFont val="Times New Roman"/>
        <family val="1"/>
      </rPr>
      <t xml:space="preserve">             </t>
    </r>
    <r>
      <rPr>
        <sz val="12"/>
        <color theme="8" tint="-0.499984740745262"/>
        <rFont val="Times New Roman"/>
        <family val="1"/>
      </rPr>
      <t>insurance process too complex for any model to fully capture</t>
    </r>
  </si>
  <si>
    <t>(i)       uncertainty from changes to the process of setting up case reserves</t>
  </si>
  <si>
    <r>
      <t>(</t>
    </r>
    <r>
      <rPr>
        <i/>
        <sz val="12"/>
        <color theme="8" tint="-0.499984740745262"/>
        <rFont val="Times New Roman"/>
        <family val="1"/>
      </rPr>
      <t>1.5 points</t>
    </r>
    <r>
      <rPr>
        <sz val="12"/>
        <color theme="8" tint="-0.499984740745262"/>
        <rFont val="Times New Roman"/>
        <family val="1"/>
      </rPr>
      <t>)  Identify the source of uncertainty to which each of the following belongs:</t>
    </r>
  </si>
  <si>
    <r>
      <t>III.</t>
    </r>
    <r>
      <rPr>
        <sz val="7"/>
        <color theme="8" tint="-0.499984740745262"/>
        <rFont val="Times New Roman"/>
        <family val="1"/>
      </rPr>
      <t xml:space="preserve">         </t>
    </r>
    <r>
      <rPr>
        <sz val="12"/>
        <color theme="8" tint="-0.499984740745262"/>
        <rFont val="Times New Roman"/>
        <family val="1"/>
      </rPr>
      <t>External Systemic Risk</t>
    </r>
  </si>
  <si>
    <r>
      <t>II.</t>
    </r>
    <r>
      <rPr>
        <sz val="7"/>
        <color theme="8" tint="-0.499984740745262"/>
        <rFont val="Times New Roman"/>
        <family val="1"/>
      </rPr>
      <t>           </t>
    </r>
    <r>
      <rPr>
        <sz val="12"/>
        <color theme="8" tint="-0.499984740745262"/>
        <rFont val="Times New Roman"/>
        <family val="1"/>
      </rPr>
      <t>Internal Systemic Risk</t>
    </r>
  </si>
  <si>
    <r>
      <t>I.</t>
    </r>
    <r>
      <rPr>
        <sz val="7"/>
        <color theme="8" tint="-0.499984740745262"/>
        <rFont val="Times New Roman"/>
        <family val="1"/>
      </rPr>
      <t>             </t>
    </r>
    <r>
      <rPr>
        <sz val="12"/>
        <color theme="8" tint="-0.499984740745262"/>
        <rFont val="Times New Roman"/>
        <family val="1"/>
      </rPr>
      <t>Independent Risk</t>
    </r>
  </si>
  <si>
    <t>They categorize risk into the following sources of uncertainty:</t>
  </si>
  <si>
    <r>
      <t>(</t>
    </r>
    <r>
      <rPr>
        <i/>
        <sz val="12"/>
        <color theme="8" tint="-0.499984740745262"/>
        <rFont val="Times New Roman"/>
        <family val="1"/>
      </rPr>
      <t>5 points</t>
    </r>
    <r>
      <rPr>
        <sz val="12"/>
        <color theme="8" tint="-0.499984740745262"/>
        <rFont val="Times New Roman"/>
        <family val="1"/>
      </rPr>
      <t xml:space="preserve">)  You are calculating a risk margin for the insurance liabilities of an insurer writing only one line of business using the methodology set out in “A Framework for Assessing Risk Margins” by Marshall et al.  </t>
    </r>
  </si>
  <si>
    <t>Risk margin at the 75% adequacy level</t>
  </si>
  <si>
    <r>
      <t>(</t>
    </r>
    <r>
      <rPr>
        <i/>
        <sz val="12"/>
        <color theme="8" tint="-0.499984740745262"/>
        <rFont val="Times New Roman"/>
        <family val="1"/>
      </rPr>
      <t>1 point</t>
    </r>
    <r>
      <rPr>
        <sz val="12"/>
        <color theme="8" tint="-0.499984740745262"/>
        <rFont val="Times New Roman"/>
        <family val="1"/>
      </rPr>
      <t xml:space="preserve">)  Calculate the risk margin for the total insurance liabilities at the 75% adequacy level. </t>
    </r>
  </si>
  <si>
    <r>
      <rPr>
        <i/>
        <sz val="12"/>
        <color theme="8" tint="-0.499984740745262"/>
        <rFont val="Times New Roman"/>
        <family val="1"/>
      </rPr>
      <t>z</t>
    </r>
    <r>
      <rPr>
        <sz val="12"/>
        <color theme="8" tint="-0.499984740745262"/>
        <rFont val="Times New Roman"/>
        <family val="1"/>
      </rPr>
      <t>-value</t>
    </r>
  </si>
  <si>
    <r>
      <t xml:space="preserve">• The </t>
    </r>
    <r>
      <rPr>
        <i/>
        <sz val="12"/>
        <color theme="8" tint="-0.499984740745262"/>
        <rFont val="Times New Roman"/>
        <family val="1"/>
      </rPr>
      <t>z</t>
    </r>
    <r>
      <rPr>
        <sz val="12"/>
        <color theme="8" tint="-0.499984740745262"/>
        <rFont val="Times New Roman"/>
        <family val="1"/>
      </rPr>
      <t>-value of the 75th percentile of the Standard Normal distribution is 0.674</t>
    </r>
  </si>
  <si>
    <t>• The total insurance liabilities are assumed to be normally distributed.</t>
  </si>
  <si>
    <t>correlation</t>
  </si>
  <si>
    <t>• The correlation between internal systemic risk and external systemic risk is assumed to be 20%</t>
  </si>
  <si>
    <t xml:space="preserve">Independent Risk </t>
  </si>
  <si>
    <t>CoVs for total insurance liabilities</t>
  </si>
  <si>
    <t>You are given the following additional information:</t>
  </si>
  <si>
    <t>Home PL</t>
  </si>
  <si>
    <t>Home CL</t>
  </si>
  <si>
    <t>Motor PL</t>
  </si>
  <si>
    <t>Motor CL</t>
  </si>
  <si>
    <t>Wi  × Wj</t>
  </si>
  <si>
    <t>CoVi  × CoVj</t>
  </si>
  <si>
    <t>PL</t>
  </si>
  <si>
    <t>CL</t>
  </si>
  <si>
    <t>Weights by Liability</t>
  </si>
  <si>
    <t>Total internal systemic risk CoV</t>
  </si>
  <si>
    <r>
      <t>(</t>
    </r>
    <r>
      <rPr>
        <i/>
        <sz val="12"/>
        <color theme="8" tint="-0.499984740745262"/>
        <rFont val="Times New Roman"/>
        <family val="1"/>
      </rPr>
      <t>2 points</t>
    </r>
    <r>
      <rPr>
        <sz val="12"/>
        <color theme="8" tint="-0.499984740745262"/>
        <rFont val="Times New Roman"/>
        <family val="1"/>
      </rPr>
      <t>)  Calculate the internal systemic risk CoV for total insurance liabilities, both lines combined.</t>
    </r>
  </si>
  <si>
    <t>Total PL</t>
  </si>
  <si>
    <t>The internal systemic risk CoVs for PL are as follows:</t>
  </si>
  <si>
    <t>% Liabilities</t>
  </si>
  <si>
    <t>Average</t>
  </si>
  <si>
    <t>Parameter</t>
  </si>
  <si>
    <t>Data</t>
  </si>
  <si>
    <t>Specification</t>
  </si>
  <si>
    <t>(iii)   Total CL</t>
  </si>
  <si>
    <t>(ii)    Home CL</t>
  </si>
  <si>
    <t>% per risk</t>
  </si>
  <si>
    <t>Count</t>
  </si>
  <si>
    <t>Weight</t>
  </si>
  <si>
    <t>% per  risk</t>
  </si>
  <si>
    <t>Source</t>
  </si>
  <si>
    <t>Risk</t>
  </si>
  <si>
    <t>Score by Potential Risk Indicator</t>
  </si>
  <si>
    <t>(i)     Motor CL</t>
  </si>
  <si>
    <t>Internal systemic risk CoV</t>
  </si>
  <si>
    <t>(iii) Total CL</t>
  </si>
  <si>
    <t>(ii)  Home CL</t>
  </si>
  <si>
    <t>(i)   Motor CL</t>
  </si>
  <si>
    <r>
      <t>(</t>
    </r>
    <r>
      <rPr>
        <i/>
        <sz val="12"/>
        <color theme="8" tint="-0.499984740745262"/>
        <rFont val="Times New Roman"/>
        <family val="1"/>
      </rPr>
      <t>2 points</t>
    </r>
    <r>
      <rPr>
        <sz val="12"/>
        <color theme="8" tint="-0.499984740745262"/>
        <rFont val="Times New Roman"/>
        <family val="1"/>
      </rPr>
      <t>)  Calculate the internal systemic risk CoV for each of the following:</t>
    </r>
  </si>
  <si>
    <t>Data error</t>
  </si>
  <si>
    <t>Parameter selection error</t>
  </si>
  <si>
    <t>Specification error</t>
  </si>
  <si>
    <t>• Risk indicator weights for each source of internal systemic risk are as follows:</t>
  </si>
  <si>
    <t>• Risk indicator weights are equal within each source of internal systemic risk.</t>
  </si>
  <si>
    <t>Home
CoV</t>
  </si>
  <si>
    <t>Motor
CoV</t>
  </si>
  <si>
    <t>Score from Balanced Scorecard Assessment</t>
  </si>
  <si>
    <t>Internal Systemic Risk Correlation Matrix</t>
  </si>
  <si>
    <t>Value of predictors used</t>
  </si>
  <si>
    <t xml:space="preserve">Extent, timeliness, consistency and reliability of information from business </t>
  </si>
  <si>
    <t>Number and importance of subjective adjustments to factors</t>
  </si>
  <si>
    <t>Range of results produced by models</t>
  </si>
  <si>
    <t>Knowledge of past processes affecting predictors</t>
  </si>
  <si>
    <t>Best predictors have been identified</t>
  </si>
  <si>
    <t>Score for</t>
  </si>
  <si>
    <t>Potential Risk Indicators for</t>
  </si>
  <si>
    <t>Premium Liabilities (PL)</t>
  </si>
  <si>
    <t>Outstanding Claim Liabilities (CL)</t>
  </si>
  <si>
    <t>Amount</t>
  </si>
  <si>
    <t>A balanced scorecard approach is used to determine the internal systemic risk coefficients of variation (CoVs) by line of business. 
You are given the following information:</t>
  </si>
  <si>
    <r>
      <t>(</t>
    </r>
    <r>
      <rPr>
        <i/>
        <sz val="12"/>
        <color theme="8" tint="-0.499984740745262"/>
        <rFont val="Times New Roman"/>
        <family val="1"/>
      </rPr>
      <t>5 points</t>
    </r>
    <r>
      <rPr>
        <sz val="12"/>
        <color theme="8" tint="-0.499984740745262"/>
        <rFont val="Times New Roman"/>
        <family val="1"/>
      </rPr>
      <t>)  You are calculating a risk margin for insurance liabilities using the methodology set out in “A Framework for Assessing Risk Margins.”</t>
    </r>
  </si>
  <si>
    <r>
      <t>Total external systemic risk CoV for both valuation classes combined (</t>
    </r>
    <r>
      <rPr>
        <b/>
        <i/>
        <sz val="11"/>
        <rFont val="Calibri"/>
        <family val="2"/>
        <scheme val="minor"/>
      </rPr>
      <t>Z</t>
    </r>
    <r>
      <rPr>
        <sz val="11"/>
        <rFont val="Calibri"/>
        <family val="2"/>
        <scheme val="minor"/>
      </rPr>
      <t>)</t>
    </r>
  </si>
  <si>
    <t>(iv)</t>
  </si>
  <si>
    <r>
      <t>Internal systemic risk CoV for premium liabilities for both valuation classes combined (</t>
    </r>
    <r>
      <rPr>
        <b/>
        <i/>
        <sz val="11"/>
        <rFont val="Calibri"/>
        <family val="2"/>
        <scheme val="minor"/>
      </rPr>
      <t>Y</t>
    </r>
    <r>
      <rPr>
        <sz val="11"/>
        <rFont val="Calibri"/>
        <family val="2"/>
        <scheme val="minor"/>
      </rPr>
      <t>)</t>
    </r>
  </si>
  <si>
    <t>(iii)</t>
  </si>
  <si>
    <t>Correlation between the valuation classes for outstanding claims for internal systemic risk</t>
  </si>
  <si>
    <r>
      <t>Total independent risk CoV for both valuation classes combined (</t>
    </r>
    <r>
      <rPr>
        <b/>
        <i/>
        <sz val="11"/>
        <rFont val="Calibri"/>
        <family val="2"/>
        <scheme val="minor"/>
      </rPr>
      <t>X</t>
    </r>
    <r>
      <rPr>
        <sz val="11"/>
        <rFont val="Calibri"/>
        <family val="2"/>
        <scheme val="minor"/>
      </rPr>
      <t>)</t>
    </r>
  </si>
  <si>
    <t>Answer in the space indicated below</t>
  </si>
  <si>
    <r>
      <t>Total external systemic risk CoV for both valuation classes combined (</t>
    </r>
    <r>
      <rPr>
        <b/>
        <i/>
        <sz val="12"/>
        <color theme="8" tint="-0.499984740745262"/>
        <rFont val="Times New Roman"/>
        <family val="1"/>
      </rPr>
      <t>Z</t>
    </r>
    <r>
      <rPr>
        <sz val="12"/>
        <color theme="8" tint="-0.499984740745262"/>
        <rFont val="Times New Roman"/>
        <family val="1"/>
      </rPr>
      <t>)</t>
    </r>
  </si>
  <si>
    <r>
      <t>Internal systemic risk CoV for premium liabilities for both valuation classes combined (</t>
    </r>
    <r>
      <rPr>
        <b/>
        <i/>
        <sz val="12"/>
        <color theme="8" tint="-0.499984740745262"/>
        <rFont val="Times New Roman"/>
        <family val="1"/>
      </rPr>
      <t>Y</t>
    </r>
    <r>
      <rPr>
        <sz val="12"/>
        <color theme="8" tint="-0.499984740745262"/>
        <rFont val="Times New Roman"/>
        <family val="1"/>
      </rPr>
      <t>)</t>
    </r>
  </si>
  <si>
    <r>
      <t>Total independent risk CoV for both valuation classes combined (</t>
    </r>
    <r>
      <rPr>
        <b/>
        <i/>
        <sz val="12"/>
        <color theme="8" tint="-0.499984740745262"/>
        <rFont val="Times New Roman"/>
        <family val="1"/>
      </rPr>
      <t>X</t>
    </r>
    <r>
      <rPr>
        <sz val="12"/>
        <color theme="8" tint="-0.499984740745262"/>
        <rFont val="Times New Roman"/>
        <family val="1"/>
      </rPr>
      <t>)</t>
    </r>
  </si>
  <si>
    <t>for external systemic risk</t>
  </si>
  <si>
    <r>
      <t>(c)      (</t>
    </r>
    <r>
      <rPr>
        <i/>
        <sz val="12"/>
        <color theme="8" tint="-0.499984740745262"/>
        <rFont val="Times New Roman"/>
        <family val="1"/>
      </rPr>
      <t>2 points</t>
    </r>
    <r>
      <rPr>
        <sz val="12"/>
        <color theme="8" tint="-0.499984740745262"/>
        <rFont val="Times New Roman"/>
        <family val="1"/>
      </rPr>
      <t>)  Calculate the following:</t>
    </r>
  </si>
  <si>
    <t xml:space="preserve">Correlation between valuation classes </t>
  </si>
  <si>
    <r>
      <t>·</t>
    </r>
    <r>
      <rPr>
        <sz val="7"/>
        <color theme="8" tint="-0.499984740745262"/>
        <rFont val="Times New Roman"/>
        <family val="1"/>
      </rPr>
      <t xml:space="preserve">       </t>
    </r>
    <r>
      <rPr>
        <sz val="12"/>
        <color theme="8" tint="-0.499984740745262"/>
        <rFont val="Times New Roman"/>
        <family val="1"/>
      </rPr>
      <t>The correlation between the two valuation classes for external systemic risk is 0.3.</t>
    </r>
  </si>
  <si>
    <r>
      <t>·</t>
    </r>
    <r>
      <rPr>
        <sz val="7"/>
        <color theme="8" tint="-0.499984740745262"/>
        <rFont val="Times New Roman"/>
        <family val="1"/>
      </rPr>
      <t xml:space="preserve">       </t>
    </r>
    <r>
      <rPr>
        <sz val="12"/>
        <color theme="8" tint="-0.499984740745262"/>
        <rFont val="Times New Roman"/>
        <family val="1"/>
      </rPr>
      <t xml:space="preserve">Assume the same correlation between the two valuation classes for both outstanding claims and premium liabilities with respect to internal systemic risk. </t>
    </r>
  </si>
  <si>
    <t>Z</t>
  </si>
  <si>
    <t>Y</t>
  </si>
  <si>
    <t>X</t>
  </si>
  <si>
    <t>Outstanding Claims</t>
  </si>
  <si>
    <t>Coefficient of Variation (CoV)</t>
  </si>
  <si>
    <t>Valuation Class</t>
  </si>
  <si>
    <t>Proportion of Total Insurance Liabilities</t>
  </si>
  <si>
    <t>You are employing the approach set out in Marshall and are given the following:</t>
  </si>
  <si>
    <r>
      <t>(</t>
    </r>
    <r>
      <rPr>
        <i/>
        <sz val="12"/>
        <color theme="8" tint="-0.499984740745262"/>
        <rFont val="Times New Roman"/>
        <family val="1"/>
      </rPr>
      <t>1 point</t>
    </r>
    <r>
      <rPr>
        <sz val="12"/>
        <color theme="8" tint="-0.499984740745262"/>
        <rFont val="Times New Roman"/>
        <family val="1"/>
      </rPr>
      <t>)  Identify four subjective decisions that are required in this approach.</t>
    </r>
  </si>
  <si>
    <t>Marshall outlines a balanced scorecard approach to analyze internal systemic risk.  This approach requires subjective decisions to be made.</t>
  </si>
  <si>
    <r>
      <t>(</t>
    </r>
    <r>
      <rPr>
        <i/>
        <sz val="12"/>
        <color theme="8" tint="-0.499984740745262"/>
        <rFont val="Times New Roman"/>
        <family val="1"/>
      </rPr>
      <t>1 point</t>
    </r>
    <r>
      <rPr>
        <sz val="12"/>
        <color theme="8" tint="-0.499984740745262"/>
        <rFont val="Times New Roman"/>
        <family val="1"/>
      </rPr>
      <t>)   Describe two of these components, other than the three listed above.</t>
    </r>
  </si>
  <si>
    <r>
      <t>(</t>
    </r>
    <r>
      <rPr>
        <i/>
        <sz val="12"/>
        <color theme="8" tint="-0.499984740745262"/>
        <rFont val="Times New Roman"/>
        <family val="1"/>
      </rPr>
      <t>4 points</t>
    </r>
    <r>
      <rPr>
        <sz val="12"/>
        <color theme="8" tint="-0.499984740745262"/>
        <rFont val="Times New Roman"/>
        <family val="1"/>
      </rPr>
      <t>)  In “A Framework for Assessing Risk Margins,” Marshall et al. (Marshall) list nine components of their risk margin framework. 
This includes independent risk analysis, internal systemic risk analysis and external systemic risk analysis.</t>
    </r>
  </si>
  <si>
    <t>from table above for a score of 3.6 from the balanced scorecard assessment</t>
  </si>
  <si>
    <t>Weighted average score</t>
  </si>
  <si>
    <r>
      <t>(</t>
    </r>
    <r>
      <rPr>
        <i/>
        <sz val="12"/>
        <color theme="8" tint="-0.499984740745262"/>
        <rFont val="Times New Roman"/>
        <family val="1"/>
      </rPr>
      <t>0.5 points</t>
    </r>
    <r>
      <rPr>
        <sz val="12"/>
        <color theme="8" tint="-0.499984740745262"/>
        <rFont val="Times New Roman"/>
        <family val="1"/>
      </rPr>
      <t>)  Select the internal systemic risk CoV using the completed internal systemic risk balanced scorecard from part (b).</t>
    </r>
  </si>
  <si>
    <t>4.0-5.0</t>
  </si>
  <si>
    <t>3.0-4.0</t>
  </si>
  <si>
    <t>2.0-3.0</t>
  </si>
  <si>
    <t>1.0-2.0</t>
  </si>
  <si>
    <t>Score from balanced scorecard assessment</t>
  </si>
  <si>
    <t>You are provided with the following CoV scale:</t>
  </si>
  <si>
    <t>The data is reconciled against another source with differences well understood.</t>
  </si>
  <si>
    <t>Data subject to appropriate reconciliation</t>
  </si>
  <si>
    <t>Regular communication between actuaries and the portfolio managers can ensure timeliness and reliability of information.</t>
  </si>
  <si>
    <t>Timeliness, consistency and reliability of information from business</t>
  </si>
  <si>
    <t>Claim level data is available and can help better understand key predictors.</t>
  </si>
  <si>
    <t>Ability to model using more granular data</t>
  </si>
  <si>
    <t>Large variance between the two model results suggests great uncertainty in our ability to model. More modeling approaches may need to be considered.</t>
  </si>
  <si>
    <t>Specification 
error</t>
  </si>
  <si>
    <t>Best predictors are stable over time</t>
  </si>
  <si>
    <t>Ability to identify and use best predictors</t>
  </si>
  <si>
    <t>Reason for receiving the score</t>
  </si>
  <si>
    <t>Score
(1 or 5)</t>
  </si>
  <si>
    <t>Risk Indicator</t>
  </si>
  <si>
    <t>Risk Source</t>
  </si>
  <si>
    <t>Answer in the space indicated below.</t>
  </si>
  <si>
    <r>
      <t>(</t>
    </r>
    <r>
      <rPr>
        <i/>
        <sz val="12"/>
        <color theme="8" tint="-0.499984740745262"/>
        <rFont val="Times New Roman"/>
        <family val="1"/>
      </rPr>
      <t>2.5 points</t>
    </r>
    <r>
      <rPr>
        <sz val="12"/>
        <color theme="8" tint="-0.499984740745262"/>
        <rFont val="Times New Roman"/>
        <family val="1"/>
      </rPr>
      <t>)  Complete the following internal systemic risk balanced scorecard:</t>
    </r>
  </si>
  <si>
    <r>
      <t>·</t>
    </r>
    <r>
      <rPr>
        <sz val="7"/>
        <color theme="8" tint="-0.499984740745262"/>
        <rFont val="Times New Roman"/>
        <family val="1"/>
      </rPr>
      <t xml:space="preserve">       </t>
    </r>
    <r>
      <rPr>
        <sz val="12"/>
        <color theme="8" tint="-0.499984740745262"/>
        <rFont val="Times New Roman"/>
        <family val="1"/>
      </rPr>
      <t>The claims data used for modeling was reconciled to the general ledger.  There were no material differences.</t>
    </r>
  </si>
  <si>
    <r>
      <t>·</t>
    </r>
    <r>
      <rPr>
        <sz val="7"/>
        <color theme="8" tint="-0.499984740745262"/>
        <rFont val="Times New Roman"/>
        <family val="1"/>
      </rPr>
      <t xml:space="preserve">       </t>
    </r>
    <r>
      <rPr>
        <sz val="12"/>
        <color theme="8" tint="-0.499984740745262"/>
        <rFont val="Times New Roman"/>
        <family val="1"/>
      </rPr>
      <t>Claim level data is available to analyze key predictors.</t>
    </r>
  </si>
  <si>
    <r>
      <t>·</t>
    </r>
    <r>
      <rPr>
        <sz val="7"/>
        <color theme="8" tint="-0.499984740745262"/>
        <rFont val="Times New Roman"/>
        <family val="1"/>
      </rPr>
      <t xml:space="preserve">       </t>
    </r>
    <r>
      <rPr>
        <sz val="12"/>
        <color theme="8" tint="-0.499984740745262"/>
        <rFont val="Times New Roman"/>
        <family val="1"/>
      </rPr>
      <t xml:space="preserve">Two different models were used to estimate the claim liabilities.  The first model has 8 predictors and produces a result of 12 million.  The second model has 6 predictors and produces a result of 23 million. </t>
    </r>
  </si>
  <si>
    <r>
      <t>·</t>
    </r>
    <r>
      <rPr>
        <sz val="7"/>
        <color theme="8" tint="-0.499984740745262"/>
        <rFont val="Times New Roman"/>
        <family val="1"/>
      </rPr>
      <t xml:space="preserve">       </t>
    </r>
    <r>
      <rPr>
        <sz val="12"/>
        <color theme="8" tint="-0.499984740745262"/>
        <rFont val="Times New Roman"/>
        <family val="1"/>
      </rPr>
      <t>Actuaries meet regularly with the relevant managers to discuss business and claim process changes.</t>
    </r>
  </si>
  <si>
    <t>You are given the following information for this line of business:</t>
  </si>
  <si>
    <r>
      <t>·</t>
    </r>
    <r>
      <rPr>
        <sz val="7"/>
        <color theme="8" tint="-0.499984740745262"/>
        <rFont val="Times New Roman"/>
        <family val="1"/>
      </rPr>
      <t xml:space="preserve">       </t>
    </r>
    <r>
      <rPr>
        <sz val="12"/>
        <color theme="8" tint="-0.499984740745262"/>
        <rFont val="Times New Roman"/>
        <family val="1"/>
      </rPr>
      <t xml:space="preserve">You assign a score of 1 </t>
    </r>
    <r>
      <rPr>
        <u/>
        <sz val="12"/>
        <color theme="8" tint="-0.499984740745262"/>
        <rFont val="Times New Roman"/>
        <family val="1"/>
      </rPr>
      <t>or</t>
    </r>
    <r>
      <rPr>
        <sz val="12"/>
        <color theme="8" tint="-0.499984740745262"/>
        <rFont val="Times New Roman"/>
        <family val="1"/>
      </rPr>
      <t xml:space="preserve"> 5 to each risk indicator.  A score of 1 represents poor practice, while a score of 5 represents good practice. </t>
    </r>
  </si>
  <si>
    <r>
      <t>·</t>
    </r>
    <r>
      <rPr>
        <sz val="7"/>
        <color theme="8" tint="-0.499984740745262"/>
        <rFont val="Times New Roman"/>
        <family val="1"/>
      </rPr>
      <t xml:space="preserve">       </t>
    </r>
    <r>
      <rPr>
        <sz val="12"/>
        <color theme="8" tint="-0.499984740745262"/>
        <rFont val="Times New Roman"/>
        <family val="1"/>
      </rPr>
      <t>Risk indicators are given equal weight within each source of internal systemic risk.</t>
    </r>
  </si>
  <si>
    <r>
      <t>·</t>
    </r>
    <r>
      <rPr>
        <sz val="7"/>
        <color theme="8" tint="-0.499984740745262"/>
        <rFont val="Times New Roman"/>
        <family val="1"/>
      </rPr>
      <t xml:space="preserve">       </t>
    </r>
    <r>
      <rPr>
        <sz val="12"/>
        <color theme="8" tint="-0.499984740745262"/>
        <rFont val="Times New Roman"/>
        <family val="1"/>
      </rPr>
      <t>Each of the three main sources of internal systemic risk has only two risk indicators.</t>
    </r>
  </si>
  <si>
    <t>Your balanced scorecard approach has the following features:</t>
  </si>
  <si>
    <t>You are using Marshall’s balanced scorecard approach to measure the internal systemic risk coefficient of variation (CoV).</t>
  </si>
  <si>
    <t xml:space="preserve">You are calculating a risk margin for claim liabilities in a long-tailed line of business. </t>
  </si>
  <si>
    <t>•	It's difficult to separate the past correlation effects between independent risk and systemic risk.
•	Correlations associated with external systemic risk sources may differ materially from correlations associated with past episodes of systemic risk.</t>
  </si>
  <si>
    <r>
      <t>(</t>
    </r>
    <r>
      <rPr>
        <i/>
        <sz val="12"/>
        <color theme="8" tint="-0.499984740745262"/>
        <rFont val="Times New Roman"/>
        <family val="1"/>
      </rPr>
      <t>1 point</t>
    </r>
    <r>
      <rPr>
        <sz val="12"/>
        <color theme="8" tint="-0.499984740745262"/>
        <rFont val="Times New Roman"/>
        <family val="1"/>
      </rPr>
      <t>)   Identify two reasons that quantitative methods should not be used to assess these correlation effects.</t>
    </r>
  </si>
  <si>
    <r>
      <t>(</t>
    </r>
    <r>
      <rPr>
        <i/>
        <sz val="12"/>
        <color theme="8" tint="-0.499984740745262"/>
        <rFont val="Times New Roman"/>
        <family val="1"/>
      </rPr>
      <t>4 points</t>
    </r>
    <r>
      <rPr>
        <sz val="12"/>
        <color theme="8" tint="-0.499984740745262"/>
        <rFont val="Times New Roman"/>
        <family val="1"/>
      </rPr>
      <t>)  “A Framework for Assessing Risk Margins,” by Marshall et al. (Marshall), described various methods for assessing correlation effects with respect to risk margins.</t>
    </r>
  </si>
  <si>
    <t>(iv)  Risk margin at the 80% adequacy level</t>
  </si>
  <si>
    <t>(iii)  Total consolidated CoV for all sources of risk</t>
  </si>
  <si>
    <t>(ii)   Total external systemic risk CoV</t>
  </si>
  <si>
    <t>Auto PL, Home OSC</t>
  </si>
  <si>
    <t>Auto OSC, Home OSC</t>
  </si>
  <si>
    <t>Auto OSC, Auto PL</t>
  </si>
  <si>
    <t>Covariances</t>
  </si>
  <si>
    <t>OSC</t>
  </si>
  <si>
    <t>LOB</t>
  </si>
  <si>
    <t>Variances</t>
  </si>
  <si>
    <t>(i)    Total internal systemic risk CoV</t>
  </si>
  <si>
    <r>
      <t>(</t>
    </r>
    <r>
      <rPr>
        <i/>
        <sz val="12"/>
        <color rgb="FF002060"/>
        <rFont val="Times New Roman"/>
        <family val="1"/>
      </rPr>
      <t>3 points</t>
    </r>
    <r>
      <rPr>
        <sz val="12"/>
        <color rgb="FF002060"/>
        <rFont val="Times New Roman"/>
        <family val="1"/>
      </rPr>
      <t>)  Calculate the following for the company:</t>
    </r>
  </si>
  <si>
    <t>The correlation between valuation classes may be caused by the "same actuary effect" and the use of the same template or valuation models across different valuation classes.
There may be linkages between the premium liability methodology and outcomes from the outstanding claim valuation, which contributes to the correlation effects between outstanding claim and premium liabilities.</t>
  </si>
  <si>
    <r>
      <t>(</t>
    </r>
    <r>
      <rPr>
        <i/>
        <sz val="12"/>
        <color rgb="FF002060"/>
        <rFont val="Times New Roman"/>
        <family val="1"/>
      </rPr>
      <t>1 point</t>
    </r>
    <r>
      <rPr>
        <sz val="12"/>
        <color rgb="FF002060"/>
        <rFont val="Times New Roman"/>
        <family val="1"/>
      </rPr>
      <t>)  Describe two considerations why correlation effects exist within internal systemic risk.</t>
    </r>
  </si>
  <si>
    <t>●    The z-value of the 80th percentile of the Normal distribution is 0.8416.</t>
  </si>
  <si>
    <t xml:space="preserve"> z-value, 80th perc. Normal </t>
  </si>
  <si>
    <t>●    Assume that the underlying distribution of insurance liabilities for this company is the Normal distribution.</t>
  </si>
  <si>
    <t>●   The three sources of uncertainty (independent risk, internal systemic risk, and external systemic risk) are assumed to be mutually independent.</t>
  </si>
  <si>
    <t>●   For external systemic risk, assume there is no correlation between lines of business and between the components of insurance liabilities (OSC and PL).</t>
  </si>
  <si>
    <r>
      <rPr>
        <sz val="12"/>
        <color rgb="FF002060"/>
        <rFont val="Calibri"/>
        <family val="2"/>
      </rPr>
      <t>●</t>
    </r>
    <r>
      <rPr>
        <sz val="12"/>
        <color rgb="FF002060"/>
        <rFont val="Times New Roman"/>
        <family val="1"/>
      </rPr>
      <t xml:space="preserve">   Total independent risk CoV for the company’s insurance liabilities is </t>
    </r>
    <r>
      <rPr>
        <sz val="12"/>
        <color rgb="FF002060"/>
        <rFont val="Times New Roman"/>
        <family val="2"/>
      </rPr>
      <t>4.5%.</t>
    </r>
  </si>
  <si>
    <t>Total independent risk CoV</t>
  </si>
  <si>
    <t>Home OSC</t>
  </si>
  <si>
    <t>Auto PL</t>
  </si>
  <si>
    <t>Auto OSC</t>
  </si>
  <si>
    <t>Internal systemic risk correlation matrix</t>
  </si>
  <si>
    <t>Premium liabilities (PL)</t>
  </si>
  <si>
    <t>Outstanding 
claims (OSC)</t>
  </si>
  <si>
    <t>Central Estimate (in millions)</t>
  </si>
  <si>
    <r>
      <t>(</t>
    </r>
    <r>
      <rPr>
        <i/>
        <sz val="12"/>
        <color rgb="FF002060"/>
        <rFont val="Times New Roman"/>
        <family val="1"/>
      </rPr>
      <t>4 points</t>
    </r>
    <r>
      <rPr>
        <sz val="12"/>
        <color rgb="FF002060"/>
        <rFont val="Times New Roman"/>
        <family val="1"/>
      </rPr>
      <t>)  You are calculting a risk margin for an insurance company with two lines of business using the methodology set out in "A Framework for Assessing Risk Margins."</t>
    </r>
  </si>
  <si>
    <t>Closed to reported counts are relatively stable which means a change in settlement rate is not likely.</t>
  </si>
  <si>
    <t>Ratios of Closed Counts to Reported Counts</t>
  </si>
  <si>
    <t>Accident</t>
  </si>
  <si>
    <t>Reported Counts</t>
  </si>
  <si>
    <r>
      <t>(</t>
    </r>
    <r>
      <rPr>
        <i/>
        <sz val="12"/>
        <color rgb="FF002060"/>
        <rFont val="Times New Roman"/>
        <family val="1"/>
      </rPr>
      <t>1.5 points</t>
    </r>
    <r>
      <rPr>
        <sz val="12"/>
        <color rgb="FF002060"/>
        <rFont val="Times New Roman"/>
        <family val="1"/>
      </rPr>
      <t>)  Evaluate if the data indicates a possible change in case settlement rates using a diagnostic test different than either of the two tests from part (c).</t>
    </r>
  </si>
  <si>
    <t>The latest diagonal shows a decrease in ratios which could mean a decrease in settlement (numerator) or increase in case reserve adequacy (denominator).</t>
  </si>
  <si>
    <t>Average Case Estimate</t>
  </si>
  <si>
    <t>Ratios of Paid Claims to Reported Claims</t>
  </si>
  <si>
    <t>Note: The reported claims for AY 2018 at 12 months was given as 3.292, but it should have been 3,292.  Some candidates noticed the error, and some did not.  However, credit was given regardless of the value used, provided the work was done correctly.</t>
  </si>
  <si>
    <r>
      <t>(</t>
    </r>
    <r>
      <rPr>
        <i/>
        <sz val="12"/>
        <color rgb="FF002060"/>
        <rFont val="Times New Roman"/>
        <family val="1"/>
      </rPr>
      <t>2.5 points</t>
    </r>
    <r>
      <rPr>
        <sz val="12"/>
        <color rgb="FF002060"/>
        <rFont val="Times New Roman"/>
        <family val="1"/>
      </rPr>
      <t>)  Evaluate if the data indicates a possible change in case reserve adequacy using two different diagnostic tests.</t>
    </r>
  </si>
  <si>
    <t>Open Counts</t>
  </si>
  <si>
    <t>Closed Counts</t>
  </si>
  <si>
    <t>Paid Claims (000)</t>
  </si>
  <si>
    <t>You are given the following additional information for the same line of business to perform diagnostic testing.</t>
  </si>
  <si>
    <t>You are told that the claim department outsourced a portion of its claim handling effective March 2019.  There are concerns that operational changes may have affected development patterns in immature accident periods.</t>
  </si>
  <si>
    <t>Actual Reported at 9 months</t>
  </si>
  <si>
    <t>Expected Reported at 9 months</t>
  </si>
  <si>
    <t>Expected % Reported @ 9/30/20</t>
  </si>
  <si>
    <t>Expected % Reported @ 12/31/19</t>
  </si>
  <si>
    <t>Reported @ 9/30/20</t>
  </si>
  <si>
    <t>Reported @ 12/31/19</t>
  </si>
  <si>
    <r>
      <t>(</t>
    </r>
    <r>
      <rPr>
        <i/>
        <sz val="12"/>
        <color rgb="FF002060"/>
        <rFont val="Times New Roman"/>
        <family val="1"/>
      </rPr>
      <t>1.5 points</t>
    </r>
    <r>
      <rPr>
        <sz val="12"/>
        <color rgb="FF002060"/>
        <rFont val="Times New Roman"/>
        <family val="1"/>
      </rPr>
      <t xml:space="preserve">)  Calculate the difference between the actual and expected reported claims from December 31, 2019 through September 30, 2020 for all accident years, using a linear interpolation of the development pattern.  </t>
    </r>
  </si>
  <si>
    <t>Reported Claims as of Sep. 30, 2020 (000)</t>
  </si>
  <si>
    <t>You are also given the following actual reported claims evaluated as of September 30, 2020.</t>
  </si>
  <si>
    <t xml:space="preserve">	Estimated ultimate claims were based on the development method applied to reported claims.</t>
  </si>
  <si>
    <t>Ultimate Claims (000)</t>
  </si>
  <si>
    <t>Reported Claims (000)</t>
  </si>
  <si>
    <t>You are given the following information as of December 31, 2019:</t>
  </si>
  <si>
    <r>
      <t>(</t>
    </r>
    <r>
      <rPr>
        <i/>
        <sz val="12"/>
        <color rgb="FF002060"/>
        <rFont val="Times New Roman"/>
        <family val="1"/>
      </rPr>
      <t>6 points</t>
    </r>
    <r>
      <rPr>
        <sz val="12"/>
        <color rgb="FF002060"/>
        <rFont val="Times New Roman"/>
        <family val="1"/>
      </rPr>
      <t>)</t>
    </r>
  </si>
  <si>
    <t>- A policy change may have been made in 2016 which reduced claim exposure (e.g., higher deductible).</t>
  </si>
  <si>
    <t>- Experience may have improved beginning in AY 2016.  Maybe frequency or severity improved due to loss prevention or loss control activities.</t>
  </si>
  <si>
    <t>- Development may be lower in recent years due to operational changes or changes in experience.</t>
  </si>
  <si>
    <r>
      <t>(</t>
    </r>
    <r>
      <rPr>
        <i/>
        <sz val="12"/>
        <color rgb="FF002060"/>
        <rFont val="Times New Roman"/>
        <family val="1"/>
      </rPr>
      <t>1.5 points</t>
    </r>
    <r>
      <rPr>
        <sz val="12"/>
        <color rgb="FF002060"/>
        <rFont val="Times New Roman"/>
        <family val="1"/>
      </rPr>
      <t>)  Describe two other possible circumstances that could cause an anomaly as shown above.</t>
    </r>
  </si>
  <si>
    <t>You have identified an anomaly in these results beginning in accident year 2016.  There are several circumstances (business, operational, environmental, etc.) that could cause such an anomaly.  One possible circumstance would be that the Cape Cod method uses the same trend rate for all years and if the underlying trend decreased in 2016 the Cape Cod method might overestimate the expected reported claims in recent accident years.</t>
  </si>
  <si>
    <t>Difference Actual vs. Expected</t>
  </si>
  <si>
    <t>Expected Reported Claims</t>
  </si>
  <si>
    <t>Reported Claims as of Dec 31, 2020</t>
  </si>
  <si>
    <t>Claims (000)</t>
  </si>
  <si>
    <r>
      <t>Your manager has given you the following actual versus expected results for a</t>
    </r>
    <r>
      <rPr>
        <i/>
        <sz val="12"/>
        <color rgb="FF002060"/>
        <rFont val="Times New Roman"/>
        <family val="1"/>
      </rPr>
      <t xml:space="preserve"> different line of business</t>
    </r>
    <r>
      <rPr>
        <sz val="12"/>
        <color rgb="FF002060"/>
        <rFont val="Times New Roman"/>
        <family val="1"/>
      </rPr>
      <t>.  The Cape Cod method was also used to estimate expected reported claims for this business.</t>
    </r>
  </si>
  <si>
    <t>Expected Reported</t>
  </si>
  <si>
    <r>
      <t>(</t>
    </r>
    <r>
      <rPr>
        <i/>
        <sz val="12"/>
        <color rgb="FF002060"/>
        <rFont val="Times New Roman"/>
        <family val="1"/>
      </rPr>
      <t>1 point</t>
    </r>
    <r>
      <rPr>
        <sz val="12"/>
        <color rgb="FF002060"/>
        <rFont val="Times New Roman"/>
        <family val="1"/>
      </rPr>
      <t>)  Calculate the difference between the expected reported claims underlying the Cape Cod calculations in part (c) and actual reported claims as of December 31, 2020.</t>
    </r>
  </si>
  <si>
    <t>Reported Claims as of Dec. 31, 2020</t>
  </si>
  <si>
    <t>Projected Ultimate</t>
  </si>
  <si>
    <t>Expected Unreported</t>
  </si>
  <si>
    <t>Expected % Undeveloped</t>
  </si>
  <si>
    <t>Expected Claims (Ultimate)</t>
  </si>
  <si>
    <t>From part (c), for part (d):</t>
  </si>
  <si>
    <t>Not in the scope of GI 301 LO 5</t>
  </si>
  <si>
    <t>(1.5 points)  Derive projected ultimate claims.</t>
  </si>
  <si>
    <t>Adjusted expected pure premium:</t>
  </si>
  <si>
    <t>Adjusted Claims at Dec. 31, 2020</t>
  </si>
  <si>
    <t>Tort Reform</t>
  </si>
  <si>
    <t>Pure Premium Trend</t>
  </si>
  <si>
    <t>Used-Up On-Level Exposures</t>
  </si>
  <si>
    <t>Expected % Developed</t>
  </si>
  <si>
    <t>Cumulative Development Factors</t>
  </si>
  <si>
    <t>(2.5 points)  Derive a selected adjusted expected pure premium.</t>
  </si>
  <si>
    <t xml:space="preserve"> for all accidents occurring on or after January 1, 2018.</t>
  </si>
  <si>
    <t xml:space="preserve">·       Tort reform resulted in an estimated claim decrease of </t>
  </si>
  <si>
    <t>·       The annual pure premium trend is:</t>
  </si>
  <si>
    <t>·       All policies are annual, and they are written and earned evenly throughout the years.</t>
  </si>
  <si>
    <t>(000)</t>
  </si>
  <si>
    <t>Reported Age-to-Age Factors</t>
  </si>
  <si>
    <t>Paid Claims as of Dec. 31, 2020</t>
  </si>
  <si>
    <t>Earned Exposures</t>
  </si>
  <si>
    <t>Required for part (d)</t>
  </si>
  <si>
    <t>You are asked to project ultimate claims evaluated as of December 31, 2020 using the Cape Cod method.  You are given the following information:</t>
  </si>
  <si>
    <t>You are projecting ultimate claims using the Cape Cod method and a pure premium approach.</t>
  </si>
  <si>
    <t>Parts (a) to (c) are not in the scope of GI 301 LO 5</t>
  </si>
  <si>
    <r>
      <t>(</t>
    </r>
    <r>
      <rPr>
        <i/>
        <sz val="12"/>
        <color rgb="FF002060"/>
        <rFont val="Times New Roman"/>
        <family val="1"/>
      </rPr>
      <t>7 points</t>
    </r>
    <r>
      <rPr>
        <sz val="12"/>
        <color rgb="FF002060"/>
        <rFont val="Times New Roman"/>
        <family val="1"/>
      </rPr>
      <t>)</t>
    </r>
  </si>
  <si>
    <t>2021 actual value is much lower than expected, suggesting the development factor for 2021 is too high.</t>
  </si>
  <si>
    <t>Actual values are mostly significantly higher than expected, suggesting development factors are too low.</t>
  </si>
  <si>
    <r>
      <t>(</t>
    </r>
    <r>
      <rPr>
        <i/>
        <sz val="12"/>
        <color rgb="FF002060"/>
        <rFont val="Times New Roman"/>
        <family val="1"/>
      </rPr>
      <t>0.5 points</t>
    </r>
    <r>
      <rPr>
        <sz val="12"/>
        <color rgb="FF002060"/>
        <rFont val="Times New Roman"/>
        <family val="1"/>
      </rPr>
      <t>)  Provide an interpretation of the results for the actual versus expected analysis derived in part (g).</t>
    </r>
  </si>
  <si>
    <t>Expected</t>
  </si>
  <si>
    <t>Actual</t>
  </si>
  <si>
    <t>Dec. 31, 2021</t>
  </si>
  <si>
    <t>Claims</t>
  </si>
  <si>
    <t>Expected % Reported at</t>
  </si>
  <si>
    <t>Claims at</t>
  </si>
  <si>
    <t>Actual versus Expected Reported Claims</t>
  </si>
  <si>
    <t>Selected</t>
  </si>
  <si>
    <r>
      <t>(</t>
    </r>
    <r>
      <rPr>
        <i/>
        <sz val="12"/>
        <color rgb="FF002060"/>
        <rFont val="Times New Roman"/>
        <family val="1"/>
      </rPr>
      <t>1.5 points</t>
    </r>
    <r>
      <rPr>
        <sz val="12"/>
        <color rgb="FF002060"/>
        <rFont val="Times New Roman"/>
        <family val="1"/>
      </rPr>
      <t>)  Calculate the difference between the actual and expected reported claims for this line of business from December 31, 2021 through March 31, 2022 for all accident years, using linear interpolation.</t>
    </r>
  </si>
  <si>
    <t>Reported Claims as of March 31, 2022</t>
  </si>
  <si>
    <t>You are provided with the following additional information:</t>
  </si>
  <si>
    <t>IBNR:</t>
  </si>
  <si>
    <t>Case estimate:</t>
  </si>
  <si>
    <t>Total unpaid claims:</t>
  </si>
  <si>
    <t>Total reported claims:</t>
  </si>
  <si>
    <t>(0.5 points)  Calculate the total unpaid claims for this line of business as of December 31, 3021, showing the case estimate and indicated IBNR separately.</t>
  </si>
  <si>
    <t>Selected Ultimate Claims</t>
  </si>
  <si>
    <t>Your appointed actuary has selected the following ultimate claims for this line of business as of December 31, 2021:</t>
  </si>
  <si>
    <t>Ultimate Claims</t>
  </si>
  <si>
    <t>Age-to-Ultimate Development Factors</t>
  </si>
  <si>
    <t>(1 point)  Calculate ultimate claims for all accident years using the Bornhuetter Ferguson method based on paid claims.  Use the expected claims from part (d).</t>
  </si>
  <si>
    <t>Claim Ratio at Each AY Level</t>
  </si>
  <si>
    <t>Claim Trend @3.635%</t>
  </si>
  <si>
    <t>Premium On-Level Factors</t>
  </si>
  <si>
    <t>Selected claim ratio from part (c):</t>
  </si>
  <si>
    <t>(1 point)  Calculate expected claims for all accident years based on the recommendation in part (c).</t>
  </si>
  <si>
    <t>Recommend reported claim ratios as they seem more consistent. Exclude high and low to smooth fluctuations.</t>
  </si>
  <si>
    <t>Rationale:</t>
  </si>
  <si>
    <t>Recommended claim ratio:</t>
  </si>
  <si>
    <t>Average excluding high-low (except 2021):</t>
  </si>
  <si>
    <t>Average all years except 2021:</t>
  </si>
  <si>
    <t>Reported Claims</t>
  </si>
  <si>
    <t>Paid Claims</t>
  </si>
  <si>
    <t>Trended On-Level Claim Ratio based on</t>
  </si>
  <si>
    <t>(1.5 points)  Recommend a 2021 cost level expected claim ratio to use for estimating expected claims.  Justify your recommendation.</t>
  </si>
  <si>
    <t xml:space="preserve">Trended on-level claim ratios derived from reported claims as well as paid claims are considered for the expected claim ratio. </t>
  </si>
  <si>
    <t>Trended On-Level Claim Ratio based on Paid Claims</t>
  </si>
  <si>
    <t>Ultimate Paid Claims (000)</t>
  </si>
  <si>
    <t>Annual claim ratio trend:</t>
  </si>
  <si>
    <r>
      <t>(</t>
    </r>
    <r>
      <rPr>
        <i/>
        <strike/>
        <sz val="12"/>
        <color rgb="FF002060"/>
        <rFont val="Times New Roman"/>
        <family val="1"/>
      </rPr>
      <t>1.5 points</t>
    </r>
    <r>
      <rPr>
        <strike/>
        <sz val="12"/>
        <color rgb="FF002060"/>
        <rFont val="Times New Roman"/>
        <family val="1"/>
      </rPr>
      <t>)  Calculate the trended on-level claim ratios for all accident years using the ultimate claims calculated in part (a).</t>
    </r>
  </si>
  <si>
    <t>Age-to-Ult.</t>
  </si>
  <si>
    <t>Age-to-Age</t>
  </si>
  <si>
    <t>Development Factors</t>
  </si>
  <si>
    <t>Bondy method selected for tail factor as there was still development at 84 months</t>
  </si>
  <si>
    <t>Simple all years average selected thereafter</t>
  </si>
  <si>
    <t>Medial all selected for 12-24 and 24-36 due to outliers</t>
  </si>
  <si>
    <t>Rationale for selections:</t>
  </si>
  <si>
    <t>Selected:</t>
  </si>
  <si>
    <t>Tail factor</t>
  </si>
  <si>
    <t>Medial All</t>
  </si>
  <si>
    <t>Vol Wtd All</t>
  </si>
  <si>
    <t>Vol Wtd 5</t>
  </si>
  <si>
    <t>Simple All</t>
  </si>
  <si>
    <t>Paid Claims Age-to-age factors</t>
  </si>
  <si>
    <t>(4.5 points)  Calculate the ultimate claims for all accident years using the development method with paid claims.  Justify any selections you make.</t>
  </si>
  <si>
    <t>The annual claim frequency trend is</t>
  </si>
  <si>
    <t>The annual claim severity trend is</t>
  </si>
  <si>
    <t>Trended On-Level Claim Ratios based on Reported Claims</t>
  </si>
  <si>
    <t>Calendar/ Accident Year</t>
  </si>
  <si>
    <t>You are estimating unpaid claims for a line of business using several different methods, and are given the following information evaluated as of December 31, 2021:</t>
  </si>
  <si>
    <t>Parts (a) to (f) are not in the scope of GI 301 LO 5</t>
  </si>
  <si>
    <t>(12 points)</t>
  </si>
  <si>
    <t>Question 5</t>
  </si>
  <si>
    <t>(ii) mature claims-made tail factor</t>
  </si>
  <si>
    <t>(i) second-year claims-made step factor</t>
  </si>
  <si>
    <t>Year Lag</t>
  </si>
  <si>
    <t>Reported Years</t>
  </si>
  <si>
    <t>A mature claims-made tail factor</t>
  </si>
  <si>
    <t>A second-year claims-made step factor</t>
  </si>
  <si>
    <t>(2 points)  Calculate each of the following factors for this coverage:</t>
  </si>
  <si>
    <t xml:space="preserve">	There is 10% annual pure premium trend in accident year claims._x000D_
</t>
  </si>
  <si>
    <t>There is a four-year reporting pattern of equal percentages each year.</t>
  </si>
  <si>
    <t xml:space="preserve">	The total reported claims for accident year 1 are 800._x000D_
</t>
  </si>
  <si>
    <t>You are conducting a ratemaking analysis for a professional liability coverage with the following information:</t>
  </si>
  <si>
    <r>
      <t>(iii)  C</t>
    </r>
    <r>
      <rPr>
        <vertAlign val="subscript"/>
        <sz val="12"/>
        <color theme="1"/>
        <rFont val="Times New Roman"/>
        <family val="1"/>
      </rPr>
      <t>1,6</t>
    </r>
    <r>
      <rPr>
        <sz val="12"/>
        <color theme="1"/>
        <rFont val="Times New Roman"/>
        <family val="1"/>
      </rPr>
      <t xml:space="preserve"> + C</t>
    </r>
    <r>
      <rPr>
        <vertAlign val="subscript"/>
        <sz val="12"/>
        <color theme="1"/>
        <rFont val="Times New Roman"/>
        <family val="1"/>
      </rPr>
      <t>2,6</t>
    </r>
    <r>
      <rPr>
        <sz val="12"/>
        <color theme="1"/>
        <rFont val="Times New Roman"/>
        <family val="1"/>
      </rPr>
      <t xml:space="preserve"> + C</t>
    </r>
    <r>
      <rPr>
        <vertAlign val="subscript"/>
        <sz val="12"/>
        <color theme="1"/>
        <rFont val="Times New Roman"/>
        <family val="1"/>
      </rPr>
      <t>3,6</t>
    </r>
    <r>
      <rPr>
        <sz val="12"/>
        <color theme="1"/>
        <rFont val="Times New Roman"/>
        <family val="1"/>
      </rPr>
      <t xml:space="preserve"> + C</t>
    </r>
    <r>
      <rPr>
        <vertAlign val="subscript"/>
        <sz val="12"/>
        <color theme="1"/>
        <rFont val="Times New Roman"/>
        <family val="1"/>
      </rPr>
      <t>2,7</t>
    </r>
    <r>
      <rPr>
        <sz val="12"/>
        <color theme="1"/>
        <rFont val="Times New Roman"/>
        <family val="1"/>
      </rPr>
      <t xml:space="preserve"> + C</t>
    </r>
    <r>
      <rPr>
        <vertAlign val="subscript"/>
        <sz val="12"/>
        <color theme="1"/>
        <rFont val="Times New Roman"/>
        <family val="1"/>
      </rPr>
      <t>3,7</t>
    </r>
    <r>
      <rPr>
        <sz val="12"/>
        <color theme="1"/>
        <rFont val="Times New Roman"/>
        <family val="1"/>
      </rPr>
      <t xml:space="preserve"> + C</t>
    </r>
    <r>
      <rPr>
        <vertAlign val="subscript"/>
        <sz val="12"/>
        <color theme="1"/>
        <rFont val="Times New Roman"/>
        <family val="1"/>
      </rPr>
      <t>3,8</t>
    </r>
  </si>
  <si>
    <r>
      <t>(ii)  C</t>
    </r>
    <r>
      <rPr>
        <vertAlign val="subscript"/>
        <sz val="12"/>
        <color theme="1"/>
        <rFont val="Times New Roman"/>
        <family val="1"/>
      </rPr>
      <t>0,5</t>
    </r>
    <r>
      <rPr>
        <sz val="12"/>
        <color theme="1"/>
        <rFont val="Times New Roman"/>
        <family val="1"/>
      </rPr>
      <t xml:space="preserve"> + C</t>
    </r>
    <r>
      <rPr>
        <vertAlign val="subscript"/>
        <sz val="12"/>
        <color theme="1"/>
        <rFont val="Times New Roman"/>
        <family val="1"/>
      </rPr>
      <t>1,5</t>
    </r>
    <r>
      <rPr>
        <sz val="12"/>
        <color theme="1"/>
        <rFont val="Times New Roman"/>
        <family val="1"/>
      </rPr>
      <t xml:space="preserve"> + C</t>
    </r>
    <r>
      <rPr>
        <vertAlign val="subscript"/>
        <sz val="12"/>
        <color theme="1"/>
        <rFont val="Times New Roman"/>
        <family val="1"/>
      </rPr>
      <t>2,5</t>
    </r>
  </si>
  <si>
    <r>
      <t>(i)  C</t>
    </r>
    <r>
      <rPr>
        <vertAlign val="subscript"/>
        <sz val="12"/>
        <color theme="1"/>
        <rFont val="Times New Roman"/>
        <family val="1"/>
      </rPr>
      <t>0,3</t>
    </r>
  </si>
  <si>
    <t>A tail policy purchased after the third-year claims-made policy from part (b)(ii)</t>
  </si>
  <si>
    <t>A third-year claims-made policy effective January 1, 2015</t>
  </si>
  <si>
    <t>A first-year claims-made policy effective January 1, 2013</t>
  </si>
  <si>
    <t>(1.5 points)  Calculate the total reported claims for each of the following:</t>
  </si>
  <si>
    <t>Report Year</t>
  </si>
  <si>
    <t>Accident Year Lag</t>
  </si>
  <si>
    <t>You are given the following accident year lag by report year matrix:</t>
  </si>
  <si>
    <t>The response for part (e) is to be provided in the Word document.</t>
  </si>
  <si>
    <t>M=</t>
  </si>
  <si>
    <t xml:space="preserve">B= </t>
  </si>
  <si>
    <t>W=</t>
  </si>
  <si>
    <t>(0.5 points)  Calculate the NCCI experience rating modification factor using W = 0.5 and B = 50,000.</t>
  </si>
  <si>
    <t>The formula for the NCCI experience rating modification factor is given as follows:</t>
  </si>
  <si>
    <t>C</t>
  </si>
  <si>
    <t>B</t>
  </si>
  <si>
    <t>A</t>
  </si>
  <si>
    <t>Excess</t>
  </si>
  <si>
    <t>Primary</t>
  </si>
  <si>
    <t>D-ratio</t>
  </si>
  <si>
    <t>ELR (per 100)</t>
  </si>
  <si>
    <t>Payroll</t>
  </si>
  <si>
    <t>Code</t>
  </si>
  <si>
    <t>Claims less than 1000</t>
  </si>
  <si>
    <t># 7</t>
  </si>
  <si>
    <t># 4</t>
  </si>
  <si>
    <t># 2</t>
  </si>
  <si>
    <t>Actual Claims</t>
  </si>
  <si>
    <t>Claims ID</t>
  </si>
  <si>
    <t xml:space="preserve">	Primary threshold for reported claims:</t>
  </si>
  <si>
    <t>Expected excess claims for Classification Code C</t>
  </si>
  <si>
    <t>Total expected primary claims</t>
  </si>
  <si>
    <t>Total actual excess claims</t>
  </si>
  <si>
    <t>(1.5 points)  Calculate the following:</t>
  </si>
  <si>
    <t xml:space="preserve">	The primary threshold for reported claims, for rating purposes, is 10,000.</t>
  </si>
  <si>
    <t>Expected Loss Rate (per 100 of payroll)</t>
  </si>
  <si>
    <t>Classification Code</t>
  </si>
  <si>
    <t>Claims less than 1,000</t>
  </si>
  <si>
    <t>Actual Reported Claims</t>
  </si>
  <si>
    <t>You are given the following information:</t>
  </si>
  <si>
    <t>Since there is a decrease, the deductible factors are considered to be consistent.</t>
  </si>
  <si>
    <t>Per Thousand</t>
  </si>
  <si>
    <t>Factor</t>
  </si>
  <si>
    <t>Deductible</t>
  </si>
  <si>
    <t>Marginal Rate</t>
  </si>
  <si>
    <t>The marginal rate should decrease as the value of the deductible increases.</t>
  </si>
  <si>
    <t>(1 point)  Evaluate the reasonability of the deductible factors calculated in part (c) by performing a consistency test.</t>
  </si>
  <si>
    <t>The response for part (d) is to be provided in the Word document.</t>
  </si>
  <si>
    <t>Deductible factor:</t>
  </si>
  <si>
    <t>No Deductible</t>
  </si>
  <si>
    <t>Trend Factor @5%</t>
  </si>
  <si>
    <t>Years</t>
  </si>
  <si>
    <t>Months</t>
  </si>
  <si>
    <t>Ground Up Ultimate Claims</t>
  </si>
  <si>
    <t>Date of Claim</t>
  </si>
  <si>
    <t>Claim #</t>
  </si>
  <si>
    <t>Deductible of</t>
  </si>
  <si>
    <t>Trending Period</t>
  </si>
  <si>
    <t>Trended Ultimate Indemnity</t>
  </si>
  <si>
    <t>Average accident date in future rating period:</t>
  </si>
  <si>
    <t>(2.5 points)  Calculate the indicated deductible factors for deductibles of 500 and 1,000 relative to a base deductible of zero.</t>
  </si>
  <si>
    <t>The annual claim severity trend is 5%.</t>
  </si>
  <si>
    <t>All policies are written as 12-month policies.</t>
  </si>
  <si>
    <t>New rates are to be effective March 1, 2021 for one year.</t>
  </si>
  <si>
    <t>You are conducting an analysis of deductible factors for ratemaking using empirical individual claims data.</t>
  </si>
  <si>
    <t>Question 11</t>
  </si>
  <si>
    <t>ILF (10,000 to Unlimited)</t>
  </si>
  <si>
    <t>ILF (10,000 to 20,000)</t>
  </si>
  <si>
    <t>20,000 – 100,000</t>
  </si>
  <si>
    <t>10,000 – 20,000</t>
  </si>
  <si>
    <t>0 – 10,000</t>
  </si>
  <si>
    <t>Claims Limited to 20,000</t>
  </si>
  <si>
    <t>Claims Limited to 10,000</t>
  </si>
  <si>
    <t>Total Claims</t>
  </si>
  <si>
    <t>Indemnity Range</t>
  </si>
  <si>
    <t>100,000 limit.</t>
  </si>
  <si>
    <t>20,000 limit, and</t>
  </si>
  <si>
    <r>
      <t>(</t>
    </r>
    <r>
      <rPr>
        <i/>
        <sz val="12"/>
        <color rgb="FF002060"/>
        <rFont val="Times New Roman"/>
        <family val="1"/>
      </rPr>
      <t>1.5 points</t>
    </r>
    <r>
      <rPr>
        <sz val="12"/>
        <color rgb="FF002060"/>
        <rFont val="Times New Roman"/>
        <family val="1"/>
      </rPr>
      <t>)  Calculate the increased limits factors relative to a basic limit of 10,000 for:</t>
    </r>
  </si>
  <si>
    <t>Counts</t>
  </si>
  <si>
    <t>You are given the following aggregated claims data for a different coverage:</t>
  </si>
  <si>
    <t xml:space="preserve">P = </t>
  </si>
  <si>
    <t>Therefore, solve for P = 62.138 + P×V + 11</t>
  </si>
  <si>
    <t>P×CR =</t>
  </si>
  <si>
    <t>Reduce claims for claims eliminated by deductible:</t>
  </si>
  <si>
    <t>Using the Formula:  P = Claims + Variable Expenses + Fixed Expenses ==&gt; P = P×CR + P×V + F</t>
  </si>
  <si>
    <t>New Rate calc:</t>
  </si>
  <si>
    <t>Fixed Expenses</t>
  </si>
  <si>
    <t>Variable Expenses</t>
  </si>
  <si>
    <t>Ratios</t>
  </si>
  <si>
    <t>Rate</t>
  </si>
  <si>
    <r>
      <t>(</t>
    </r>
    <r>
      <rPr>
        <i/>
        <sz val="12"/>
        <color rgb="FF002060"/>
        <rFont val="Times New Roman"/>
        <family val="1"/>
      </rPr>
      <t>1 point</t>
    </r>
    <r>
      <rPr>
        <sz val="12"/>
        <color rgb="FF002060"/>
        <rFont val="Times New Roman"/>
        <family val="1"/>
      </rPr>
      <t>)  Calculate a rate for the 1,000 deductible option using results from part (d).</t>
    </r>
  </si>
  <si>
    <t xml:space="preserve"> - There is no profit load.  </t>
  </si>
  <si>
    <t xml:space="preserve"> - The underlying fixed expense ratio is 10%.</t>
  </si>
  <si>
    <t xml:space="preserve"> - The underlying variable expense ratio is 20%.</t>
  </si>
  <si>
    <t xml:space="preserve"> - The underlying claim ratio is 70%.</t>
  </si>
  <si>
    <t xml:space="preserve">The current rate for this auto collision coverage is 110 with no deductible.  </t>
  </si>
  <si>
    <t xml:space="preserve">Elimination ratio = </t>
  </si>
  <si>
    <t>Over 1,000</t>
  </si>
  <si>
    <t>0 – 1,000</t>
  </si>
  <si>
    <t>Claims eliminated at 1,000 deductible:</t>
  </si>
  <si>
    <r>
      <t>(</t>
    </r>
    <r>
      <rPr>
        <i/>
        <sz val="12"/>
        <color rgb="FF002060"/>
        <rFont val="Times New Roman"/>
        <family val="1"/>
      </rPr>
      <t>0.5 points</t>
    </r>
    <r>
      <rPr>
        <sz val="12"/>
        <color rgb="FF002060"/>
        <rFont val="Times New Roman"/>
        <family val="1"/>
      </rPr>
      <t>)  Calculate the elimination ratio to be used for pricing a deductible option of 1,000.</t>
    </r>
  </si>
  <si>
    <t>You are given the following aggregated claims data for auto collision coverage:</t>
  </si>
  <si>
    <t>Amount paid by insurer</t>
  </si>
  <si>
    <t>Loss amount</t>
  </si>
  <si>
    <t>Coinsurance penalty percentage</t>
  </si>
  <si>
    <t>Coinsurance requirement</t>
  </si>
  <si>
    <t>Coverage</t>
  </si>
  <si>
    <t>Property value</t>
  </si>
  <si>
    <t>Loss amount is 900,000 and the deductible is 0</t>
  </si>
  <si>
    <t>Loss amount is 800,000 and the deductible is 10,000</t>
  </si>
  <si>
    <r>
      <t>(</t>
    </r>
    <r>
      <rPr>
        <i/>
        <sz val="12"/>
        <color rgb="FF002060"/>
        <rFont val="Times New Roman"/>
        <family val="1"/>
      </rPr>
      <t>1 point</t>
    </r>
    <r>
      <rPr>
        <sz val="12"/>
        <color rgb="FF002060"/>
        <rFont val="Times New Roman"/>
        <family val="1"/>
      </rPr>
      <t>)  Calculate the claims paid by the insurer under the following scenarios:</t>
    </r>
  </si>
  <si>
    <t xml:space="preserve"> - The coinsurance requirement is 80% of the property value, applied before the deductible.  </t>
  </si>
  <si>
    <t xml:space="preserve"> - The amount of insurance purchased for the property is 500,000.</t>
  </si>
  <si>
    <t>A property is valued at 1,000,000.</t>
  </si>
  <si>
    <t xml:space="preserve">Change in occurrence = </t>
  </si>
  <si>
    <t xml:space="preserve">Change in claims-made = </t>
  </si>
  <si>
    <t>RY1 Occurrence policy:</t>
  </si>
  <si>
    <t>RY1 Claims-made policy:</t>
  </si>
  <si>
    <t>RY2 @20% Trend</t>
  </si>
  <si>
    <t>RY2 @10% Trend</t>
  </si>
  <si>
    <t>AY Lag</t>
  </si>
  <si>
    <t>AY Lag by Report Year Matrix</t>
  </si>
  <si>
    <t>Use same example as part (c), except with a trend after reported year 1 of:</t>
  </si>
  <si>
    <r>
      <t>(</t>
    </r>
    <r>
      <rPr>
        <i/>
        <sz val="12"/>
        <color rgb="FF002060"/>
        <rFont val="Times New Roman"/>
        <family val="1"/>
      </rPr>
      <t>2 points</t>
    </r>
    <r>
      <rPr>
        <sz val="12"/>
        <color rgb="FF002060"/>
        <rFont val="Times New Roman"/>
        <family val="1"/>
      </rPr>
      <t>)  Construct a numerical example demonstrating this principle.</t>
    </r>
  </si>
  <si>
    <t>Another principle of claims-made ratemaking states that claims-made policies priced on the basis of prior trend will be closer to the correct price than occurrence policies priced in the same way, when there is a sudden unpredictable change in the underlying trend.</t>
  </si>
  <si>
    <t>Assume 3 year reported, 100 reported each year, annual trend of:</t>
  </si>
  <si>
    <r>
      <t>(</t>
    </r>
    <r>
      <rPr>
        <i/>
        <sz val="12"/>
        <color rgb="FF002060"/>
        <rFont val="Times New Roman"/>
        <family val="1"/>
      </rPr>
      <t>1.5 points</t>
    </r>
    <r>
      <rPr>
        <sz val="12"/>
        <color rgb="FF002060"/>
        <rFont val="Times New Roman"/>
        <family val="1"/>
      </rPr>
      <t>)  Construct a numerical example demonstrating this principle.</t>
    </r>
  </si>
  <si>
    <t>One principle of claims-made ratemaking states that a claims-made policy will cost less than an occurrence policy when claim costs are increasing.</t>
  </si>
  <si>
    <t>Question 13</t>
  </si>
  <si>
    <t>Since the marginal rates are strictly decreasing, the deductible factors are reasonable.</t>
  </si>
  <si>
    <t>Marginal rate per 000</t>
  </si>
  <si>
    <t>Ded factor</t>
  </si>
  <si>
    <r>
      <t>(</t>
    </r>
    <r>
      <rPr>
        <i/>
        <sz val="12"/>
        <color rgb="FF002060"/>
        <rFont val="Times New Roman"/>
        <family val="1"/>
      </rPr>
      <t>1 point</t>
    </r>
    <r>
      <rPr>
        <sz val="12"/>
        <color rgb="FF002060"/>
        <rFont val="Times New Roman"/>
        <family val="1"/>
      </rPr>
      <t>)  Evaluate the reasonability of the deductible factors calculated in part (d) using a consistency test.</t>
    </r>
  </si>
  <si>
    <t>AY2015 seems to be an outlier, so the all years average excluding 2015 is selected</t>
  </si>
  <si>
    <t xml:space="preserve"> Deductible factor</t>
  </si>
  <si>
    <t xml:space="preserve"> Selected elimination ratio</t>
  </si>
  <si>
    <t xml:space="preserve"> All years average excl. 2015</t>
  </si>
  <si>
    <t xml:space="preserve"> All years average</t>
  </si>
  <si>
    <t>Elimination Ratio by Dedutible</t>
  </si>
  <si>
    <r>
      <t>(</t>
    </r>
    <r>
      <rPr>
        <i/>
        <sz val="12"/>
        <color rgb="FF002060"/>
        <rFont val="Times New Roman"/>
        <family val="1"/>
      </rPr>
      <t>2 points</t>
    </r>
    <r>
      <rPr>
        <sz val="12"/>
        <color rgb="FF002060"/>
        <rFont val="Times New Roman"/>
        <family val="1"/>
      </rPr>
      <t>)  Determine the elimination ratios and deductible factors for each of the deductible options.</t>
    </r>
  </si>
  <si>
    <t>Optional Deductibles</t>
  </si>
  <si>
    <t>Base Deductible</t>
  </si>
  <si>
    <t>Trended Ultimate Claims, Adjusted to Deductible Level</t>
  </si>
  <si>
    <t>You are given the following information for a deductible analysis using empirical data:</t>
  </si>
  <si>
    <t xml:space="preserve">Insurance policies may include deductibles and limits.  Both features are used to reduce the claims paid by insurers with a corresponding adjustment to the premium. </t>
  </si>
  <si>
    <t xml:space="preserve">2023: (1/6) of 25,000 = </t>
  </si>
  <si>
    <t xml:space="preserve">2022: (2/6) of 25,000 = </t>
  </si>
  <si>
    <t xml:space="preserve">2021: (3/6) of 25,000 = </t>
  </si>
  <si>
    <t>With a 25,000 tail premium split into six units, the earning would be as follows:</t>
  </si>
  <si>
    <r>
      <t>(</t>
    </r>
    <r>
      <rPr>
        <i/>
        <sz val="12"/>
        <color rgb="FF002060"/>
        <rFont val="Times New Roman"/>
        <family val="1"/>
      </rPr>
      <t>1 point</t>
    </r>
    <r>
      <rPr>
        <sz val="12"/>
        <color rgb="FF002060"/>
        <rFont val="Times New Roman"/>
        <family val="1"/>
      </rPr>
      <t>)  Calculate CM’s earned premium for 2021, 2022 and 2023 for a mature tail policy effective January 1, 2021 with a premium of 25,000.</t>
    </r>
  </si>
  <si>
    <t xml:space="preserve">Mature = </t>
  </si>
  <si>
    <t>Second year CM =</t>
  </si>
  <si>
    <t>Tail factor for:</t>
  </si>
  <si>
    <t>Mature</t>
  </si>
  <si>
    <t>Second-year</t>
  </si>
  <si>
    <r>
      <t>(</t>
    </r>
    <r>
      <rPr>
        <i/>
        <sz val="12"/>
        <color rgb="FF002060"/>
        <rFont val="Times New Roman"/>
        <family val="1"/>
      </rPr>
      <t>1 point</t>
    </r>
    <r>
      <rPr>
        <sz val="12"/>
        <color rgb="FF002060"/>
        <rFont val="Times New Roman"/>
        <family val="1"/>
      </rPr>
      <t>)  Calculate tail factors for a claims-made policy for the following maturities:</t>
    </r>
  </si>
  <si>
    <t>CM Insurance Company writes claims-made coverage with a 4-year reporting pattern where 40% of the claims incurred in an accident year are reported in the year of occurrence, and 20% are reported in each of the next three years.  The annual report year pure premium trend is 0%.</t>
  </si>
  <si>
    <t>Thus, the claims-made claims cost is greater.</t>
  </si>
  <si>
    <t>The occurrence claims cost would be 100, and the claims-made claims cost would 50×(1+(1/1 - 0.20)) = 112.5.</t>
  </si>
  <si>
    <t xml:space="preserve">Consider the case where the reporting period is two years, 50%, 50% and claims cost trend is negative, say -20%. </t>
  </si>
  <si>
    <r>
      <t>(</t>
    </r>
    <r>
      <rPr>
        <i/>
        <sz val="12"/>
        <color rgb="FF002060"/>
        <rFont val="Times New Roman"/>
        <family val="1"/>
      </rPr>
      <t>1 point</t>
    </r>
    <r>
      <rPr>
        <sz val="12"/>
        <color rgb="FF002060"/>
        <rFont val="Times New Roman"/>
        <family val="1"/>
      </rPr>
      <t>)  Demonstrate, with a numerical example, a situation in which the claims-made loss cost is greater than the occurrence loss cost.</t>
    </r>
  </si>
  <si>
    <t>The observed pure premiums must be independent for the minimum bias method to reproduce them.</t>
  </si>
  <si>
    <r>
      <t>(</t>
    </r>
    <r>
      <rPr>
        <i/>
        <sz val="12"/>
        <color rgb="FF002060"/>
        <rFont val="Times New Roman"/>
        <family val="1"/>
      </rPr>
      <t>0.5 points</t>
    </r>
    <r>
      <rPr>
        <sz val="12"/>
        <color rgb="FF002060"/>
        <rFont val="Times New Roman"/>
        <family val="1"/>
      </rPr>
      <t>)  Describe the condition under which the converged results of the minimum bias method will be factors that reproduce all nine observed trended ultimate pure premiums.</t>
    </r>
  </si>
  <si>
    <t>First iteration for new class relativities using one-way territory relativities as starting point:</t>
  </si>
  <si>
    <t>Total expected claims for each class:</t>
  </si>
  <si>
    <t>One-way territory relativities:</t>
  </si>
  <si>
    <t>Territory 3</t>
  </si>
  <si>
    <t>Territory 2</t>
  </si>
  <si>
    <t>Territory 1</t>
  </si>
  <si>
    <r>
      <t>(</t>
    </r>
    <r>
      <rPr>
        <i/>
        <sz val="12"/>
        <color rgb="FF002060"/>
        <rFont val="Times New Roman"/>
        <family val="1"/>
      </rPr>
      <t>1.5 points</t>
    </r>
    <r>
      <rPr>
        <sz val="12"/>
        <color rgb="FF002060"/>
        <rFont val="Times New Roman"/>
        <family val="1"/>
      </rPr>
      <t>)  Calculate the revised relativities by class that result from a single iteration of the minimum bias method.</t>
    </r>
  </si>
  <si>
    <t>The minimum bias approach is to be used to obtain the final relativities.  The process starts with the one-way relativities for territory.</t>
  </si>
  <si>
    <t>Rebalanced Pure Premium</t>
  </si>
  <si>
    <t>Pure Premium</t>
  </si>
  <si>
    <t>Territory</t>
  </si>
  <si>
    <t>Class</t>
  </si>
  <si>
    <t>Exposures</t>
  </si>
  <si>
    <t>One-Way Relativities</t>
  </si>
  <si>
    <r>
      <t>(</t>
    </r>
    <r>
      <rPr>
        <i/>
        <sz val="12"/>
        <color rgb="FF002060"/>
        <rFont val="Times New Roman"/>
        <family val="1"/>
      </rPr>
      <t>1.5 points</t>
    </r>
    <r>
      <rPr>
        <sz val="12"/>
        <color rgb="FF002060"/>
        <rFont val="Times New Roman"/>
        <family val="1"/>
      </rPr>
      <t xml:space="preserve">)  Calculate the rebalanced pure premiums using the one-way analysis relativities for each rating variable combination. </t>
    </r>
  </si>
  <si>
    <t>Pure Premiums</t>
  </si>
  <si>
    <t>The trended ultimate pure premiums are given in the following table:</t>
  </si>
  <si>
    <t>Since the ratios are not consistent for each class, there is distributional bias.</t>
  </si>
  <si>
    <t>Ratios to territory 1 for each class:</t>
  </si>
  <si>
    <r>
      <t>(</t>
    </r>
    <r>
      <rPr>
        <i/>
        <sz val="12"/>
        <color rgb="FF002060"/>
        <rFont val="Times New Roman"/>
        <family val="1"/>
      </rPr>
      <t>1.5 points</t>
    </r>
    <r>
      <rPr>
        <sz val="12"/>
        <color rgb="FF002060"/>
        <rFont val="Times New Roman"/>
        <family val="1"/>
      </rPr>
      <t>)  Determine if there is distributional bias in the exposure data.  Support your conclusion.</t>
    </r>
  </si>
  <si>
    <t>The exposures for the nine rating combinations are given in the following table:</t>
  </si>
  <si>
    <t>base rate × class factor × territory factor.</t>
  </si>
  <si>
    <t>Your company uses only two rating variables for its homeowners insurance policy. One is class (A, B, and C) and the other is territory (1, 2, and 3).  Rates are determined as:</t>
  </si>
  <si>
    <t>Claimants' behavior and claim experience may differ between different deductibles.</t>
  </si>
  <si>
    <r>
      <t>(</t>
    </r>
    <r>
      <rPr>
        <i/>
        <sz val="12"/>
        <color rgb="FF002060"/>
        <rFont val="Times New Roman"/>
        <family val="1"/>
      </rPr>
      <t>0.5 points</t>
    </r>
    <r>
      <rPr>
        <sz val="12"/>
        <color rgb="FF002060"/>
        <rFont val="Times New Roman"/>
        <family val="1"/>
      </rPr>
      <t>)  Provide a reason why you would choose to determine deductible factors using a classification ratemaking approach instead of using the elimination ratio approach.</t>
    </r>
  </si>
  <si>
    <t>There may have been claims for amounts between 1000 and 2000 that we don't know about, and we would need to include those claims in the calculation.</t>
  </si>
  <si>
    <r>
      <t>(</t>
    </r>
    <r>
      <rPr>
        <i/>
        <sz val="12"/>
        <color rgb="FF002060"/>
        <rFont val="Times New Roman"/>
        <family val="1"/>
      </rPr>
      <t>0.5 points</t>
    </r>
    <r>
      <rPr>
        <sz val="12"/>
        <color rgb="FF002060"/>
        <rFont val="Times New Roman"/>
        <family val="1"/>
      </rPr>
      <t>)  Describe why you would not be able to use data from policies with a 2,000 deductible to determine the deductible factor for a 1,000 deductible if the data was censored.</t>
    </r>
  </si>
  <si>
    <t>Therefore, recommend any factor higher than 0.360 and lower than 0.495</t>
  </si>
  <si>
    <t xml:space="preserve">   solves for x &lt; </t>
  </si>
  <si>
    <t>Difference between 1000 &amp; 1500, and 1500 &amp; 2000: 0.676 - x &gt; x - 0.310</t>
  </si>
  <si>
    <t xml:space="preserve">   solves for x &gt; </t>
  </si>
  <si>
    <t>(note: can ignore denominators since they're all 500)</t>
  </si>
  <si>
    <t>Difference between 500 &amp; 1000, and 1000 &amp; 1500: 1 - 0.676 &gt; 0.676 - x</t>
  </si>
  <si>
    <t xml:space="preserve">Based on consistency test, </t>
  </si>
  <si>
    <r>
      <t xml:space="preserve">Relativity for 1,500 deductible = </t>
    </r>
    <r>
      <rPr>
        <i/>
        <sz val="12"/>
        <rFont val="Times New Roman"/>
        <family val="1"/>
      </rPr>
      <t>x</t>
    </r>
  </si>
  <si>
    <t>Therefore, relativity needs to be between 0.680 and 0.310 -&gt; can use consistency test to find the appropriate range for a factor.</t>
  </si>
  <si>
    <t>Deductible relativity</t>
  </si>
  <si>
    <t>Total Indemnity at 2,000 deductible</t>
  </si>
  <si>
    <t>Indemnity eliminated at 2,000 deductible</t>
  </si>
  <si>
    <t>First need to know the 2,000 deductible factor:</t>
  </si>
  <si>
    <r>
      <t>(</t>
    </r>
    <r>
      <rPr>
        <i/>
        <sz val="12"/>
        <color rgb="FF002060"/>
        <rFont val="Times New Roman"/>
        <family val="1"/>
      </rPr>
      <t>2.5 points</t>
    </r>
    <r>
      <rPr>
        <sz val="12"/>
        <color rgb="FF002060"/>
        <rFont val="Times New Roman"/>
        <family val="1"/>
      </rPr>
      <t>)  Recommend a factor for a deductible of 1,500.  Justify your recommendation.</t>
    </r>
  </si>
  <si>
    <t>Total Indemnity at 1,000 deductible</t>
  </si>
  <si>
    <t>Indemnity eliminated at 1,000 deductible</t>
  </si>
  <si>
    <t>Total Indemnity at 500 deductible</t>
  </si>
  <si>
    <t>Indemnity eliminated at 500 deductible</t>
  </si>
  <si>
    <r>
      <t>(</t>
    </r>
    <r>
      <rPr>
        <i/>
        <sz val="12"/>
        <color rgb="FF002060"/>
        <rFont val="Times New Roman"/>
        <family val="1"/>
      </rPr>
      <t>1.5 points</t>
    </r>
    <r>
      <rPr>
        <sz val="12"/>
        <color rgb="FF002060"/>
        <rFont val="Times New Roman"/>
        <family val="1"/>
      </rPr>
      <t>)  Calculate the indicated deductible factor for a deductible of 1,000.</t>
    </r>
  </si>
  <si>
    <t>The base deductible is 500.</t>
  </si>
  <si>
    <t>unlimited</t>
  </si>
  <si>
    <t>–</t>
  </si>
  <si>
    <t>Indemnity</t>
  </si>
  <si>
    <t>Counts in Interval</t>
  </si>
  <si>
    <t>You are given the following uncensored aggregated information for a line of business:</t>
  </si>
  <si>
    <t>Question 19</t>
  </si>
  <si>
    <t xml:space="preserve"> - Essentially, coinsurance is used to motivate insureds to purchase the appropriate amount of insurance (close to full coverage) and to penalize those that do not.</t>
  </si>
  <si>
    <t xml:space="preserve"> - Coinsurance is a technique used by insurers to limit their liability and assist insureds in managing their costs of coverage (or sharing the risk with the insureds).</t>
  </si>
  <si>
    <t>Any one of the following is acceptable:</t>
  </si>
  <si>
    <r>
      <t>(</t>
    </r>
    <r>
      <rPr>
        <i/>
        <sz val="12"/>
        <color rgb="FF002060"/>
        <rFont val="Times New Roman"/>
        <family val="1"/>
      </rPr>
      <t>0.5 points</t>
    </r>
    <r>
      <rPr>
        <sz val="12"/>
        <color rgb="FF002060"/>
        <rFont val="Times New Roman"/>
        <family val="1"/>
      </rPr>
      <t>)  State one reason why insurers favor including a coinsurance requirement in property policies.</t>
    </r>
  </si>
  <si>
    <t>Amount Paid by Insured</t>
  </si>
  <si>
    <t>Coinsurance Penalty Percentage</t>
  </si>
  <si>
    <t>Amount of Insurance Required</t>
  </si>
  <si>
    <t>Coinsurance Percentage</t>
  </si>
  <si>
    <t>Amount Purchased</t>
  </si>
  <si>
    <t>Scenario</t>
  </si>
  <si>
    <t xml:space="preserve"> coinsurance requirement.</t>
  </si>
  <si>
    <t xml:space="preserve"> with a</t>
  </si>
  <si>
    <r>
      <t>(iii)</t>
    </r>
    <r>
      <rPr>
        <sz val="7"/>
        <color rgb="FF002060"/>
        <rFont val="Times New Roman"/>
        <family val="1"/>
      </rPr>
      <t xml:space="preserve">          </t>
    </r>
    <r>
      <rPr>
        <sz val="12"/>
        <color rgb="FF002060"/>
        <rFont val="Times New Roman"/>
        <family val="1"/>
      </rPr>
      <t xml:space="preserve">The insured purchased coverage of </t>
    </r>
  </si>
  <si>
    <r>
      <t>(ii)</t>
    </r>
    <r>
      <rPr>
        <sz val="7"/>
        <color rgb="FF002060"/>
        <rFont val="Times New Roman"/>
        <family val="1"/>
      </rPr>
      <t xml:space="preserve">            </t>
    </r>
    <r>
      <rPr>
        <sz val="12"/>
        <color rgb="FF002060"/>
        <rFont val="Times New Roman"/>
        <family val="1"/>
      </rPr>
      <t>The insured purchased coverage of</t>
    </r>
  </si>
  <si>
    <r>
      <t>(i)</t>
    </r>
    <r>
      <rPr>
        <sz val="7"/>
        <color rgb="FF002060"/>
        <rFont val="Times New Roman"/>
        <family val="1"/>
      </rPr>
      <t xml:space="preserve">              </t>
    </r>
    <r>
      <rPr>
        <sz val="12"/>
        <color rgb="FF002060"/>
        <rFont val="Times New Roman"/>
        <family val="1"/>
      </rPr>
      <t>The insured purchased coverage of</t>
    </r>
  </si>
  <si>
    <r>
      <t>(</t>
    </r>
    <r>
      <rPr>
        <i/>
        <sz val="12"/>
        <color rgb="FF002060"/>
        <rFont val="Times New Roman"/>
        <family val="1"/>
      </rPr>
      <t>1.5 points</t>
    </r>
    <r>
      <rPr>
        <sz val="12"/>
        <color rgb="FF002060"/>
        <rFont val="Times New Roman"/>
        <family val="1"/>
      </rPr>
      <t>)  Calculate the claims paid by the insurer under each of the following scenarios:</t>
    </r>
  </si>
  <si>
    <t>There is no deductible on the coverage for the facility.</t>
  </si>
  <si>
    <t xml:space="preserve"> The garage is valued at </t>
  </si>
  <si>
    <t xml:space="preserve">The garage facility was also damaged with losses of </t>
  </si>
  <si>
    <t xml:space="preserve"> - Exposure to catastrophic events</t>
  </si>
  <si>
    <t xml:space="preserve"> - Processing costs associated with small claims</t>
  </si>
  <si>
    <t xml:space="preserve"> - Risk control</t>
  </si>
  <si>
    <t xml:space="preserve"> - Moral and morale hazard</t>
  </si>
  <si>
    <r>
      <t>(</t>
    </r>
    <r>
      <rPr>
        <i/>
        <sz val="12"/>
        <color rgb="FF002060"/>
        <rFont val="Times New Roman"/>
        <family val="1"/>
      </rPr>
      <t>0.5 points</t>
    </r>
    <r>
      <rPr>
        <sz val="12"/>
        <color rgb="FF002060"/>
        <rFont val="Times New Roman"/>
        <family val="1"/>
      </rPr>
      <t>)  State one advantage of a deductible from an insurer’s perspective.</t>
    </r>
  </si>
  <si>
    <t xml:space="preserve">Therefore, retained amount </t>
  </si>
  <si>
    <t xml:space="preserve">Amount paid by insurer </t>
  </si>
  <si>
    <t>Multiplier</t>
  </si>
  <si>
    <t>Amount retained</t>
  </si>
  <si>
    <r>
      <t>·</t>
    </r>
    <r>
      <rPr>
        <sz val="7"/>
        <color rgb="FF002060"/>
        <rFont val="Times New Roman"/>
        <family val="1"/>
      </rPr>
      <t xml:space="preserve">       </t>
    </r>
    <r>
      <rPr>
        <sz val="12"/>
        <color rgb="FF002060"/>
        <rFont val="Times New Roman"/>
        <family val="1"/>
      </rPr>
      <t>Losses with a total value between 50,000 and 100,000 would be proportionately shared between the garage owner and the insurer.</t>
    </r>
  </si>
  <si>
    <t xml:space="preserve"> and</t>
  </si>
  <si>
    <r>
      <t>·</t>
    </r>
    <r>
      <rPr>
        <sz val="7"/>
        <color rgb="FF002060"/>
        <rFont val="Times New Roman"/>
        <family val="1"/>
      </rPr>
      <t xml:space="preserve">       </t>
    </r>
    <r>
      <rPr>
        <sz val="12"/>
        <color rgb="FF002060"/>
        <rFont val="Times New Roman"/>
        <family val="1"/>
      </rPr>
      <t>The insurer would pay the total value of any covered loss greater than</t>
    </r>
  </si>
  <si>
    <r>
      <t>·</t>
    </r>
    <r>
      <rPr>
        <sz val="7"/>
        <color rgb="FF002060"/>
        <rFont val="Times New Roman"/>
        <family val="1"/>
      </rPr>
      <t xml:space="preserve">       </t>
    </r>
    <r>
      <rPr>
        <sz val="12"/>
        <color rgb="FF002060"/>
        <rFont val="Times New Roman"/>
        <family val="1"/>
      </rPr>
      <t xml:space="preserve">The garage owner would fully retain any losses less than </t>
    </r>
  </si>
  <si>
    <t xml:space="preserve">Diminishing deductible per event where: </t>
  </si>
  <si>
    <t xml:space="preserve"> of the garage owner’s liability </t>
  </si>
  <si>
    <t xml:space="preserve"> per vehicle</t>
  </si>
  <si>
    <t xml:space="preserve">Straight deductible of </t>
  </si>
  <si>
    <r>
      <t>(</t>
    </r>
    <r>
      <rPr>
        <i/>
        <sz val="12"/>
        <color rgb="FF002060"/>
        <rFont val="Times New Roman"/>
        <family val="1"/>
      </rPr>
      <t>1.5 points</t>
    </r>
    <r>
      <rPr>
        <sz val="12"/>
        <color rgb="FF002060"/>
        <rFont val="Times New Roman"/>
        <family val="1"/>
      </rPr>
      <t>)  Calculate the losses retained by the garage owner under each of the following deductible scenarios:</t>
    </r>
  </si>
  <si>
    <t>includes property damage liability coverage.</t>
  </si>
  <si>
    <t xml:space="preserve"> in property liability damage.  The garage owner maintains a large deductible policy which</t>
  </si>
  <si>
    <t xml:space="preserve">vehicle owner for </t>
  </si>
  <si>
    <t>A suburban city flooded, damaging 80 vehicles parked in an underground garage.  The garage's owner is liable to each</t>
  </si>
  <si>
    <t>Question 1</t>
  </si>
  <si>
    <t xml:space="preserve">(2.5 points)  Calculate.  </t>
  </si>
  <si>
    <t xml:space="preserve">There is an inverse relationship been credibility and homogeneity. </t>
  </si>
  <si>
    <t>or</t>
  </si>
  <si>
    <t>Increasing homogeneity of a class typically means a smaller class which may have lower credibility due to smaller size.</t>
  </si>
  <si>
    <r>
      <t>(</t>
    </r>
    <r>
      <rPr>
        <i/>
        <sz val="12"/>
        <color rgb="FF002060"/>
        <rFont val="Times New Roman"/>
        <family val="1"/>
      </rPr>
      <t>0.5 points</t>
    </r>
    <r>
      <rPr>
        <sz val="12"/>
        <color rgb="FF002060"/>
        <rFont val="Times New Roman"/>
        <family val="1"/>
      </rPr>
      <t>)  Describe this conflict.</t>
    </r>
  </si>
  <si>
    <r>
      <t xml:space="preserve">Credibility and homogeneity </t>
    </r>
    <r>
      <rPr>
        <sz val="12"/>
        <color rgb="FF002060"/>
        <rFont val="TimesNewRomanPSMT"/>
      </rPr>
      <t xml:space="preserve">frequently present conflicting objectives in the actuarial work supporting risk classification systems. </t>
    </r>
  </si>
  <si>
    <t>Set a relationship between a response variable and several predictor variables using a linear predictor and an appropriate link function.</t>
  </si>
  <si>
    <t>Generalized Linear Models (GLMs):</t>
  </si>
  <si>
    <t>Solve the multiple non-linear equations with the unknown multiplicative factors iteratively.</t>
  </si>
  <si>
    <t>Minimum bias procedure/method:</t>
  </si>
  <si>
    <r>
      <t>(</t>
    </r>
    <r>
      <rPr>
        <i/>
        <sz val="12"/>
        <color rgb="FF002060"/>
        <rFont val="Times New Roman"/>
        <family val="1"/>
      </rPr>
      <t>1.5 points</t>
    </r>
    <r>
      <rPr>
        <sz val="12"/>
        <color rgb="FF002060"/>
        <rFont val="Times New Roman"/>
        <family val="1"/>
      </rPr>
      <t>)  Describe two approaches that address the issues identified in part (c).</t>
    </r>
  </si>
  <si>
    <t xml:space="preserve">It occurs when knowing the risk class of an insured within one risk characteristic changes the true relativities for the risk classes in another risk characteristic from  what they would be without that knowledge. </t>
  </si>
  <si>
    <t>Dependence:</t>
  </si>
  <si>
    <t xml:space="preserve">It occurs when there are differences in the distribution of exposures by risk characteristic between risk classes. </t>
  </si>
  <si>
    <t>Distributional bias:</t>
  </si>
  <si>
    <r>
      <t>(</t>
    </r>
    <r>
      <rPr>
        <i/>
        <sz val="12"/>
        <color rgb="FF002060"/>
        <rFont val="Times New Roman"/>
        <family val="1"/>
      </rPr>
      <t>1.5 points</t>
    </r>
    <r>
      <rPr>
        <sz val="12"/>
        <color rgb="FF002060"/>
        <rFont val="Times New Roman"/>
        <family val="1"/>
      </rPr>
      <t>)  Describe two possible issues, in general, with the use of a single variable risk classification analysis.</t>
    </r>
  </si>
  <si>
    <t>=</t>
  </si>
  <si>
    <t>μ</t>
  </si>
  <si>
    <r>
      <rPr>
        <sz val="12"/>
        <color theme="1"/>
        <rFont val="Calibri"/>
        <family val="2"/>
      </rPr>
      <t>μ</t>
    </r>
    <r>
      <rPr>
        <sz val="12"/>
        <color theme="1"/>
        <rFont val="Times New Roman"/>
        <family val="1"/>
      </rPr>
      <t>(480*1.0*1.0 + 160*1.0*0.571 + 240*1.481*1.0 + 120*1.481*0.571)</t>
    </r>
  </si>
  <si>
    <t>Solve for:</t>
  </si>
  <si>
    <t>S2</t>
  </si>
  <si>
    <t>Female (2)</t>
  </si>
  <si>
    <t>Male (1)</t>
  </si>
  <si>
    <r>
      <t>Relativity (</t>
    </r>
    <r>
      <rPr>
        <sz val="12"/>
        <color theme="1"/>
        <rFont val="Times New Roman"/>
        <family val="1"/>
      </rPr>
      <t>Sj)</t>
    </r>
  </si>
  <si>
    <t>Number of the Insureds</t>
  </si>
  <si>
    <t>Sex (j)</t>
  </si>
  <si>
    <t>A2</t>
  </si>
  <si>
    <t>Under 25 (2)</t>
  </si>
  <si>
    <t>25 and over (1)</t>
  </si>
  <si>
    <r>
      <t>Relativity (</t>
    </r>
    <r>
      <rPr>
        <sz val="12"/>
        <color theme="1"/>
        <rFont val="Times New Roman"/>
        <family val="1"/>
      </rPr>
      <t>Ai)</t>
    </r>
  </si>
  <si>
    <t>Age Group (i)</t>
  </si>
  <si>
    <t xml:space="preserve"> by setting the base class as "25 and over", "male."</t>
  </si>
  <si>
    <t xml:space="preserve">with the single variable risk classification analysis, </t>
  </si>
  <si>
    <r>
      <t>(</t>
    </r>
    <r>
      <rPr>
        <i/>
        <sz val="12"/>
        <color rgb="FF002060"/>
        <rFont val="Times New Roman"/>
        <family val="1"/>
      </rPr>
      <t>1.5 points</t>
    </r>
    <r>
      <rPr>
        <sz val="12"/>
        <color rgb="FF002060"/>
        <rFont val="Times New Roman"/>
        <family val="1"/>
      </rPr>
      <t xml:space="preserve">)  Calculate </t>
    </r>
    <r>
      <rPr>
        <i/>
        <sz val="12"/>
        <color rgb="FF002060"/>
        <rFont val="Times New Roman"/>
        <family val="1"/>
      </rPr>
      <t>A</t>
    </r>
    <r>
      <rPr>
        <i/>
        <vertAlign val="subscript"/>
        <sz val="12"/>
        <color rgb="FF002060"/>
        <rFont val="Times New Roman"/>
        <family val="1"/>
      </rPr>
      <t>2</t>
    </r>
    <r>
      <rPr>
        <sz val="12"/>
        <color rgb="FF002060"/>
        <rFont val="Times New Roman"/>
        <family val="1"/>
      </rPr>
      <t xml:space="preserve">, </t>
    </r>
    <r>
      <rPr>
        <i/>
        <sz val="12"/>
        <color rgb="FF002060"/>
        <rFont val="Times New Roman"/>
        <family val="1"/>
      </rPr>
      <t>S</t>
    </r>
    <r>
      <rPr>
        <i/>
        <vertAlign val="subscript"/>
        <sz val="12"/>
        <color rgb="FF002060"/>
        <rFont val="Times New Roman"/>
        <family val="1"/>
      </rPr>
      <t>2</t>
    </r>
    <r>
      <rPr>
        <sz val="12"/>
        <color rgb="FF002060"/>
        <rFont val="Times New Roman"/>
        <family val="1"/>
      </rPr>
      <t xml:space="preserve">, and </t>
    </r>
  </si>
  <si>
    <r>
      <t>(</t>
    </r>
    <r>
      <rPr>
        <i/>
        <sz val="12"/>
        <color rgb="FF002060"/>
        <rFont val="Times New Roman"/>
        <family val="1"/>
      </rPr>
      <t>j</t>
    </r>
    <r>
      <rPr>
        <sz val="12"/>
        <color rgb="FF002060"/>
        <rFont val="Times New Roman"/>
        <family val="1"/>
      </rPr>
      <t xml:space="preserve"> = 1 for male,  </t>
    </r>
    <r>
      <rPr>
        <i/>
        <sz val="12"/>
        <color rgb="FF002060"/>
        <rFont val="Times New Roman"/>
        <family val="1"/>
      </rPr>
      <t>j</t>
    </r>
    <r>
      <rPr>
        <sz val="12"/>
        <color rgb="FF002060"/>
        <rFont val="Times New Roman"/>
        <family val="1"/>
      </rPr>
      <t xml:space="preserve"> = 2 for female)</t>
    </r>
  </si>
  <si>
    <r>
      <t>·</t>
    </r>
    <r>
      <rPr>
        <sz val="7"/>
        <color rgb="FF002060"/>
        <rFont val="Times New Roman"/>
        <family val="1"/>
      </rPr>
      <t xml:space="preserve">       </t>
    </r>
    <r>
      <rPr>
        <i/>
        <sz val="12"/>
        <color rgb="FF002060"/>
        <rFont val="Times New Roman"/>
        <family val="1"/>
      </rPr>
      <t>S</t>
    </r>
    <r>
      <rPr>
        <i/>
        <vertAlign val="subscript"/>
        <sz val="12"/>
        <color rgb="FF002060"/>
        <rFont val="Times New Roman"/>
        <family val="1"/>
      </rPr>
      <t>j</t>
    </r>
    <r>
      <rPr>
        <sz val="12"/>
        <color rgb="FF002060"/>
        <rFont val="Times New Roman"/>
        <family val="1"/>
      </rPr>
      <t xml:space="preserve"> is the relativity for an insured in risk class </t>
    </r>
    <r>
      <rPr>
        <i/>
        <sz val="12"/>
        <color rgb="FF002060"/>
        <rFont val="Times New Roman"/>
        <family val="1"/>
      </rPr>
      <t>j</t>
    </r>
    <r>
      <rPr>
        <sz val="12"/>
        <color rgb="FF002060"/>
        <rFont val="Times New Roman"/>
        <family val="1"/>
      </rPr>
      <t>, sex.</t>
    </r>
  </si>
  <si>
    <r>
      <t>(</t>
    </r>
    <r>
      <rPr>
        <i/>
        <sz val="12"/>
        <color rgb="FF002060"/>
        <rFont val="Times New Roman"/>
        <family val="1"/>
      </rPr>
      <t>i</t>
    </r>
    <r>
      <rPr>
        <sz val="12"/>
        <color rgb="FF002060"/>
        <rFont val="Times New Roman"/>
        <family val="1"/>
      </rPr>
      <t xml:space="preserve"> = 1 for 25 and over, </t>
    </r>
    <r>
      <rPr>
        <i/>
        <sz val="12"/>
        <color rgb="FF002060"/>
        <rFont val="Times New Roman"/>
        <family val="1"/>
      </rPr>
      <t>i</t>
    </r>
    <r>
      <rPr>
        <sz val="12"/>
        <color rgb="FF002060"/>
        <rFont val="Times New Roman"/>
        <family val="1"/>
      </rPr>
      <t xml:space="preserve"> = 2 for under 25)</t>
    </r>
  </si>
  <si>
    <r>
      <rPr>
        <sz val="12"/>
        <color rgb="FF002060"/>
        <rFont val="Symbol"/>
        <family val="1"/>
        <charset val="2"/>
      </rPr>
      <t>·</t>
    </r>
    <r>
      <rPr>
        <i/>
        <sz val="12"/>
        <color rgb="FF002060"/>
        <rFont val="Times New Roman"/>
        <family val="1"/>
      </rPr>
      <t>    A</t>
    </r>
    <r>
      <rPr>
        <i/>
        <vertAlign val="subscript"/>
        <sz val="12"/>
        <color rgb="FF002060"/>
        <rFont val="Times New Roman"/>
        <family val="1"/>
      </rPr>
      <t>i</t>
    </r>
    <r>
      <rPr>
        <sz val="12"/>
        <color rgb="FF002060"/>
        <rFont val="Times New Roman"/>
        <family val="1"/>
      </rPr>
      <t xml:space="preserve"> is the relativity for an insured in risk class </t>
    </r>
    <r>
      <rPr>
        <i/>
        <sz val="12"/>
        <color rgb="FF002060"/>
        <rFont val="Times New Roman"/>
        <family val="1"/>
      </rPr>
      <t>i</t>
    </r>
    <r>
      <rPr>
        <sz val="12"/>
        <color rgb="FF002060"/>
        <rFont val="Times New Roman"/>
        <family val="1"/>
      </rPr>
      <t>, age group,</t>
    </r>
  </si>
  <si>
    <t xml:space="preserve"> is the overall average pure premium underlying the experience of all insureds with given risk characteristics,</t>
  </si>
  <si>
    <r>
      <t>·</t>
    </r>
    <r>
      <rPr>
        <sz val="7"/>
        <color rgb="FF002060"/>
        <rFont val="Times New Roman"/>
        <family val="1"/>
      </rPr>
      <t xml:space="preserve">       </t>
    </r>
  </si>
  <si>
    <t>, where</t>
  </si>
  <si>
    <t xml:space="preserve">The new premium for each combination of age group and sex is determined as </t>
  </si>
  <si>
    <t xml:space="preserve">Another colleague proposes a single variable risk classification analysis for each of the variables, age group and sex.  </t>
  </si>
  <si>
    <t>However, it is very likely that the lower risks (25 and over and/or female) leave the company while the higher risks (under age 25 and/or male) migrate to the portfolio more, which would decrease the profitability again.</t>
  </si>
  <si>
    <t>If the company raises the base rate from 100 to 110, it might be able to achieve breakeven provided the distribution of the portfolio does not change.</t>
  </si>
  <si>
    <r>
      <t>(</t>
    </r>
    <r>
      <rPr>
        <i/>
        <sz val="12"/>
        <color rgb="FF002060"/>
        <rFont val="Times New Roman"/>
        <family val="1"/>
      </rPr>
      <t>1 point</t>
    </r>
    <r>
      <rPr>
        <sz val="12"/>
        <color rgb="FF002060"/>
        <rFont val="Times New Roman"/>
        <family val="1"/>
      </rPr>
      <t>)  Critique your colleague’s recommendation.</t>
    </r>
  </si>
  <si>
    <t xml:space="preserve"> for all vehicles. </t>
  </si>
  <si>
    <t>Your colleague recommends increasing the pure premium to</t>
  </si>
  <si>
    <t xml:space="preserve"> per year for every vehicle in the rating plan.  </t>
  </si>
  <si>
    <t xml:space="preserve">The company is using an underlying pure premium of </t>
  </si>
  <si>
    <t>Female</t>
  </si>
  <si>
    <t>Male</t>
  </si>
  <si>
    <t>Under 25</t>
  </si>
  <si>
    <t>25 and over</t>
  </si>
  <si>
    <t>Sex</t>
  </si>
  <si>
    <t>Estimated Ultimate</t>
  </si>
  <si>
    <t>Number of Vehicles</t>
  </si>
  <si>
    <t>Age Group</t>
  </si>
  <si>
    <t>DSI provides insurance that covers the replacement of an electric vehicle’s battery when it is damaged in an accident.  You are given the following DSI claims experience for this product:</t>
  </si>
  <si>
    <t xml:space="preserve">Experience (credit)/debit </t>
  </si>
  <si>
    <t xml:space="preserve">Z  </t>
  </si>
  <si>
    <t>AELR</t>
  </si>
  <si>
    <t xml:space="preserve">AER </t>
  </si>
  <si>
    <t xml:space="preserve">Basic Limits Premiums Subject to Experience Rating </t>
  </si>
  <si>
    <t>Projected ultimate losses &amp; ALAE Limited by Basic Limits &amp; MSL</t>
  </si>
  <si>
    <t>Basic Limits and MSL</t>
  </si>
  <si>
    <t>MSL</t>
  </si>
  <si>
    <t>ALAE</t>
  </si>
  <si>
    <t>Basic Limits</t>
  </si>
  <si>
    <t>Total Limits</t>
  </si>
  <si>
    <t>Claim ID</t>
  </si>
  <si>
    <t>Policy Year</t>
  </si>
  <si>
    <t>at July 1, 2022 Limited by</t>
  </si>
  <si>
    <t>Reported Claims &amp; ALAE</t>
  </si>
  <si>
    <t>Claims as of July 1, 2022</t>
  </si>
  <si>
    <t>Unreported Claims</t>
  </si>
  <si>
    <t>% Unreported</t>
  </si>
  <si>
    <t>Basic Prem</t>
  </si>
  <si>
    <t xml:space="preserve">Calculate the experience rating modification. </t>
  </si>
  <si>
    <r>
      <t>experience rating</t>
    </r>
    <r>
      <rPr>
        <sz val="12"/>
        <color rgb="FF002060"/>
        <rFont val="Times New Roman"/>
        <family val="1"/>
      </rPr>
      <t xml:space="preserve">, the square root rule and a full credibility standard of </t>
    </r>
  </si>
  <si>
    <r>
      <t>·</t>
    </r>
    <r>
      <rPr>
        <sz val="7"/>
        <color rgb="FF002060"/>
        <rFont val="Times New Roman"/>
        <family val="1"/>
      </rPr>
      <t xml:space="preserve">       </t>
    </r>
    <r>
      <rPr>
        <sz val="12"/>
        <color rgb="FF002060"/>
        <rFont val="Times New Roman"/>
        <family val="1"/>
      </rPr>
      <t xml:space="preserve">Partial credibility is assigned to claims using </t>
    </r>
    <r>
      <rPr>
        <i/>
        <sz val="12"/>
        <color rgb="FF002060"/>
        <rFont val="Times New Roman"/>
        <family val="1"/>
      </rPr>
      <t>basic limits premiums subject to</t>
    </r>
  </si>
  <si>
    <r>
      <t>·</t>
    </r>
    <r>
      <rPr>
        <sz val="7"/>
        <color rgb="FF002060"/>
        <rFont val="Times New Roman"/>
        <family val="1"/>
      </rPr>
      <t xml:space="preserve">       </t>
    </r>
    <r>
      <rPr>
        <sz val="12"/>
        <color rgb="FF002060"/>
        <rFont val="Times New Roman"/>
        <family val="1"/>
      </rPr>
      <t>The Adjusted Expected Loss Ratio (AELR) is</t>
    </r>
  </si>
  <si>
    <r>
      <t>·</t>
    </r>
    <r>
      <rPr>
        <sz val="7"/>
        <color rgb="FF002060"/>
        <rFont val="Times New Roman"/>
        <family val="1"/>
      </rPr>
      <t xml:space="preserve">       </t>
    </r>
    <r>
      <rPr>
        <sz val="12"/>
        <color rgb="FF002060"/>
        <rFont val="Times New Roman"/>
        <family val="1"/>
      </rPr>
      <t xml:space="preserve">The Maximum Single Limit (MSL) is </t>
    </r>
  </si>
  <si>
    <r>
      <t>·</t>
    </r>
    <r>
      <rPr>
        <sz val="7"/>
        <color rgb="FF002060"/>
        <rFont val="Times New Roman"/>
        <family val="1"/>
      </rPr>
      <t xml:space="preserve">       </t>
    </r>
    <r>
      <rPr>
        <sz val="12"/>
        <color rgb="FF002060"/>
        <rFont val="Times New Roman"/>
        <family val="1"/>
      </rPr>
      <t xml:space="preserve">The basic limit for indemnity is </t>
    </r>
  </si>
  <si>
    <t>July 1, 2020 – June 30, 2021</t>
  </si>
  <si>
    <t>July 1, 2019 – June 30, 2020</t>
  </si>
  <si>
    <t>Percentage of Claims Expected to be Unreported as of July 1, 2022</t>
  </si>
  <si>
    <t>Basic Limits Premiums Subject to Experience Rating</t>
  </si>
  <si>
    <t>Total Limits Indemnity</t>
  </si>
  <si>
    <t>Reported Claims as of July 1, 2022</t>
  </si>
  <si>
    <t>You are calculating the experience rating modification for a commercial general liability policy.  You are given the following information:</t>
  </si>
  <si>
    <r>
      <t>(</t>
    </r>
    <r>
      <rPr>
        <i/>
        <sz val="12"/>
        <color rgb="FF002060"/>
        <rFont val="Times New Roman"/>
        <family val="1"/>
      </rPr>
      <t>3 points</t>
    </r>
    <r>
      <rPr>
        <sz val="12"/>
        <color rgb="FF002060"/>
        <rFont val="Times New Roman"/>
        <family val="1"/>
      </rPr>
      <t>)</t>
    </r>
  </si>
  <si>
    <t>Admitted portion</t>
  </si>
  <si>
    <t>Not in the scope of GI 301 LO6</t>
  </si>
  <si>
    <r>
      <t>(b)</t>
    </r>
    <r>
      <rPr>
        <strike/>
        <sz val="7"/>
        <color rgb="FF002060"/>
        <rFont val="Times New Roman"/>
        <family val="1"/>
      </rPr>
      <t xml:space="preserve">               </t>
    </r>
    <r>
      <rPr>
        <strike/>
        <sz val="12"/>
        <color rgb="FF002060"/>
        <rFont val="Times New Roman"/>
        <family val="1"/>
      </rPr>
      <t>(</t>
    </r>
    <r>
      <rPr>
        <i/>
        <strike/>
        <sz val="12"/>
        <color rgb="FF002060"/>
        <rFont val="Times New Roman"/>
        <family val="1"/>
      </rPr>
      <t>0.5 points</t>
    </r>
    <r>
      <rPr>
        <strike/>
        <sz val="12"/>
        <color rgb="FF002060"/>
        <rFont val="Times New Roman"/>
        <family val="1"/>
      </rPr>
      <t xml:space="preserve">)  Calculate the admitted portion of the premium asset from part (a) under the rules of U.S. statutory accounting.   </t>
    </r>
  </si>
  <si>
    <t>Estimated Premium Asset</t>
  </si>
  <si>
    <t>Step 4</t>
  </si>
  <si>
    <t>Estimated Total Premium</t>
  </si>
  <si>
    <t>Step 3</t>
  </si>
  <si>
    <t>CPDLD</t>
  </si>
  <si>
    <t>Retro Adjustment</t>
  </si>
  <si>
    <t>Step 2</t>
  </si>
  <si>
    <t xml:space="preserve">Expected loss emergence </t>
  </si>
  <si>
    <t>Ultimate losses</t>
  </si>
  <si>
    <t>Percent earned</t>
  </si>
  <si>
    <t>Development factor</t>
  </si>
  <si>
    <t>Months of development at 12/31/19</t>
  </si>
  <si>
    <t>Step 1</t>
  </si>
  <si>
    <r>
      <t>(a)</t>
    </r>
    <r>
      <rPr>
        <sz val="7"/>
        <color rgb="FF002060"/>
        <rFont val="Times New Roman"/>
        <family val="1"/>
      </rPr>
      <t xml:space="preserve">               </t>
    </r>
    <r>
      <rPr>
        <sz val="12"/>
        <color rgb="FF002060"/>
        <rFont val="Times New Roman"/>
        <family val="1"/>
      </rPr>
      <t>(</t>
    </r>
    <r>
      <rPr>
        <i/>
        <sz val="12"/>
        <color rgb="FF002060"/>
        <rFont val="Times New Roman"/>
        <family val="1"/>
      </rPr>
      <t>4.5 points</t>
    </r>
    <r>
      <rPr>
        <sz val="12"/>
        <color rgb="FF002060"/>
        <rFont val="Times New Roman"/>
        <family val="1"/>
      </rPr>
      <t>)  Calculate the premium asset on WFH’s retrospectively rated policies as of Dec. 31, 2019.</t>
    </r>
  </si>
  <si>
    <r>
      <t>·</t>
    </r>
    <r>
      <rPr>
        <sz val="7"/>
        <color rgb="FF002060"/>
        <rFont val="Times New Roman"/>
        <family val="1"/>
      </rPr>
      <t xml:space="preserve">         </t>
    </r>
    <r>
      <rPr>
        <sz val="12"/>
        <color rgb="FF002060"/>
        <rFont val="Times New Roman"/>
        <family val="1"/>
      </rPr>
      <t>None of the unbilled premiums from the retrospectively rated policies are secured.</t>
    </r>
  </si>
  <si>
    <r>
      <t>·</t>
    </r>
    <r>
      <rPr>
        <sz val="12"/>
        <color rgb="FF002060"/>
        <rFont val="Times New Roman"/>
        <family val="1"/>
      </rPr>
      <t>    Assume that no losses are reported for a policy year after 66 months of development.</t>
    </r>
  </si>
  <si>
    <r>
      <t>·</t>
    </r>
    <r>
      <rPr>
        <sz val="7"/>
        <color rgb="FF002060"/>
        <rFont val="Times New Roman"/>
        <family val="1"/>
      </rPr>
      <t xml:space="preserve">         </t>
    </r>
    <r>
      <rPr>
        <sz val="12"/>
        <color rgb="FF002060"/>
        <rFont val="Times New Roman"/>
        <family val="1"/>
      </rPr>
      <t>Premiums for policy years 2018 and prior are fully earned as of year-end 2019.</t>
    </r>
  </si>
  <si>
    <t>Cumulative Development Factors for Reported Policy Year Losses (i.e., reported loss age-to-ultimate factors)</t>
  </si>
  <si>
    <t>Development age in months</t>
  </si>
  <si>
    <t>Premium Booked as of 12/31/2019 ($M)</t>
  </si>
  <si>
    <t>Premium Booked at Prior Retrospective Adjustment ($M)</t>
  </si>
  <si>
    <t>Losses Reported at Prior Retrospective Adjustment ($M)</t>
  </si>
  <si>
    <t>Reported Losses as of 12/31/19 ($M)</t>
  </si>
  <si>
    <t>Completed Retro Adjustments as of 12/31/2019</t>
  </si>
  <si>
    <t>Percentage of Loss Emerged Since Prior Evaluation</t>
  </si>
  <si>
    <t>Selected Premium Development to Loss Development (PDLD) Ratio</t>
  </si>
  <si>
    <t>Loss Evaluation Point in Months</t>
  </si>
  <si>
    <t>Retro Adjustment Period</t>
  </si>
  <si>
    <r>
      <t>(</t>
    </r>
    <r>
      <rPr>
        <i/>
        <sz val="12"/>
        <color rgb="FF002060"/>
        <rFont val="Times New Roman"/>
        <family val="1"/>
      </rPr>
      <t>5 points</t>
    </r>
    <r>
      <rPr>
        <sz val="12"/>
        <color rgb="FF002060"/>
        <rFont val="Times New Roman"/>
        <family val="1"/>
      </rPr>
      <t>)  U.S. general insurer, WFH General, writes retrospectively rated workers compensation policies. You have the following information for WFH’s retrospectively rated policies. Amounts in the second table are in millions of dollars ($M) as indicated.</t>
    </r>
  </si>
  <si>
    <t>Part (b) is not in the scope of GI 301 LO6</t>
  </si>
  <si>
    <t>QUESTION 15</t>
  </si>
  <si>
    <r>
      <t>(</t>
    </r>
    <r>
      <rPr>
        <i/>
        <sz val="12"/>
        <color theme="8" tint="-0.499984740745262"/>
        <rFont val="Times New Roman"/>
        <family val="1"/>
      </rPr>
      <t>0.5 points</t>
    </r>
    <r>
      <rPr>
        <sz val="12"/>
        <color theme="8" tint="-0.499984740745262"/>
        <rFont val="Times New Roman"/>
        <family val="1"/>
      </rPr>
      <t>)  Calculate the premium asset on retrospectively rated polices for policy years 2019 and 2020 combined as of December 31, 2020.</t>
    </r>
  </si>
  <si>
    <t>Completed Retro Adjustments as of 12/31/2020</t>
  </si>
  <si>
    <t>Premiums 
Booked as of 12/31/20</t>
  </si>
  <si>
    <t>Premiums 
Booked from 
Prior Adjustment</t>
  </si>
  <si>
    <t>Expected 
Future Loss Emergence</t>
  </si>
  <si>
    <t>You are given the following premium and loss information for policy years 2019 and 2020 combined as of December 31, 2020.</t>
  </si>
  <si>
    <t>CPDLD2</t>
  </si>
  <si>
    <t>CPDLD1</t>
  </si>
  <si>
    <r>
      <t>(</t>
    </r>
    <r>
      <rPr>
        <i/>
        <sz val="12"/>
        <color theme="8" tint="-0.499984740745262"/>
        <rFont val="Times New Roman"/>
        <family val="1"/>
      </rPr>
      <t>1 point</t>
    </r>
    <r>
      <rPr>
        <sz val="12"/>
        <color theme="8" tint="-0.499984740745262"/>
        <rFont val="Times New Roman"/>
        <family val="1"/>
      </rPr>
      <t>) Calculate the cumulative PDLD (i.e., CPDLD) ratios for the first and second retrospective premium adjustments.</t>
    </r>
  </si>
  <si>
    <t xml:space="preserve">The PDLD ratio for the third retrospective adjustment period is 0. </t>
  </si>
  <si>
    <t>Third</t>
  </si>
  <si>
    <t>Second</t>
  </si>
  <si>
    <t>First</t>
  </si>
  <si>
    <t>% Loss Emerged</t>
  </si>
  <si>
    <t>You are given the following information regarding the retrospective rated policies:</t>
  </si>
  <si>
    <t>PDLD2</t>
  </si>
  <si>
    <t>PDLD1</t>
  </si>
  <si>
    <r>
      <t>(</t>
    </r>
    <r>
      <rPr>
        <i/>
        <sz val="12"/>
        <color theme="8" tint="-0.499984740745262"/>
        <rFont val="Times New Roman"/>
        <family val="1"/>
      </rPr>
      <t>1.5 points</t>
    </r>
    <r>
      <rPr>
        <sz val="12"/>
        <color theme="8" tint="-0.499984740745262"/>
        <rFont val="Times New Roman"/>
        <family val="1"/>
      </rPr>
      <t>) Calculate the Premium Development to Loss Development (PDLD) ratios under the formula approach for the first and second retrospective premium adjustments.</t>
    </r>
  </si>
  <si>
    <t>Expected percentage of loss emerged for the first retro adjustment</t>
  </si>
  <si>
    <t>Incremental loss capping ratio for the second retrospective adjustment period</t>
  </si>
  <si>
    <t>Loss capping ratio at the first retrospective adjustment</t>
  </si>
  <si>
    <t>Tax multiplier</t>
  </si>
  <si>
    <t>Loss conversion factor</t>
  </si>
  <si>
    <t>Expected loss ratio</t>
  </si>
  <si>
    <t>Basic premium factor</t>
  </si>
  <si>
    <t>You are given the following retrospective rating parameters:</t>
  </si>
  <si>
    <r>
      <t>(</t>
    </r>
    <r>
      <rPr>
        <i/>
        <sz val="12"/>
        <color theme="8" tint="-0.499984740745262"/>
        <rFont val="Times New Roman"/>
        <family val="1"/>
      </rPr>
      <t>0.5 points</t>
    </r>
    <r>
      <rPr>
        <sz val="12"/>
        <color theme="8" tint="-0.499984740745262"/>
        <rFont val="Times New Roman"/>
        <family val="1"/>
      </rPr>
      <t>) Describe a benefit of using the formula approach over an approach using historical data for calculating PDLD ratios.</t>
    </r>
  </si>
  <si>
    <t xml:space="preserve">In calculating the premium asset on retrospectively rated polices, Teng and Perkins describe an approach using Premium Development to Loss Development (PDLD) ratios.  These PDLD ratios may be determined using a formula approach with the retrospective rating parameters or an approach using historical data. </t>
  </si>
  <si>
    <t>(ii)     the timing of when amounts are recorded</t>
  </si>
  <si>
    <t>(i)      the accounting transaction including where the amounts are recorded</t>
  </si>
  <si>
    <r>
      <t>(</t>
    </r>
    <r>
      <rPr>
        <i/>
        <strike/>
        <sz val="12"/>
        <color theme="8" tint="-0.499984740745262"/>
        <rFont val="Times New Roman"/>
        <family val="1"/>
      </rPr>
      <t>1.5 points</t>
    </r>
    <r>
      <rPr>
        <strike/>
        <sz val="12"/>
        <color theme="8" tint="-0.499984740745262"/>
        <rFont val="Times New Roman"/>
        <family val="1"/>
      </rPr>
      <t>) Describe the recording of the amounts for accrued additional retrospective premiums in the statutory financial statement as per SSAP No. 66 with respect to the following:</t>
    </r>
  </si>
  <si>
    <t xml:space="preserve"> for retrospectively rated contracts. </t>
  </si>
  <si>
    <r>
      <t>(</t>
    </r>
    <r>
      <rPr>
        <i/>
        <strike/>
        <sz val="12"/>
        <color theme="8" tint="-0.499984740745262"/>
        <rFont val="Times New Roman"/>
        <family val="1"/>
      </rPr>
      <t>5 points</t>
    </r>
    <r>
      <rPr>
        <strike/>
        <sz val="12"/>
        <color theme="8" tint="-0.499984740745262"/>
        <rFont val="Times New Roman"/>
        <family val="1"/>
      </rPr>
      <t>)  Statement of Statutory Accounting Principles (SSAP) No. 66 establishes statutory accounting principles</t>
    </r>
  </si>
  <si>
    <t>Part (a) is not in the scope of GI 301 LO6</t>
  </si>
  <si>
    <t>Premium Asset</t>
  </si>
  <si>
    <t>Expected Future Premium</t>
  </si>
  <si>
    <t>CPDLD Ratio</t>
  </si>
  <si>
    <r>
      <t>(</t>
    </r>
    <r>
      <rPr>
        <i/>
        <sz val="12"/>
        <color theme="8" tint="-0.499984740745262"/>
        <rFont val="Times New Roman"/>
        <family val="1"/>
      </rPr>
      <t>1.5 points</t>
    </r>
    <r>
      <rPr>
        <sz val="12"/>
        <color theme="8" tint="-0.499984740745262"/>
        <rFont val="Times New Roman"/>
        <family val="1"/>
      </rPr>
      <t>)  Calculate the premium asset on retrospectively rated policies as of December 31, 2022 arising from policy years 2020 and 2021 using the PDLD method.</t>
    </r>
  </si>
  <si>
    <t>Premium Booked from Prior Retrospective Adjustment</t>
  </si>
  <si>
    <t>Expected Loss Emergence after Last Completed Retrospective Adjustment</t>
  </si>
  <si>
    <t>Completed Retro Adjustments as of Year-End 2022</t>
  </si>
  <si>
    <t>Premuim Booked as of Year-End 
2022</t>
  </si>
  <si>
    <t>Policy 
Year</t>
  </si>
  <si>
    <t>You have the following amounts from the company’s retrospectively rated policies for policy years 2020 and 2021:</t>
  </si>
  <si>
    <t>No losses are reported after the fourth retro adjustment.</t>
  </si>
  <si>
    <t>Fourth</t>
  </si>
  <si>
    <t>Selected PDLD Ratio</t>
  </si>
  <si>
    <t>Loss 
Evaluation Point
in Months</t>
  </si>
  <si>
    <t>You are given the following information for a company’s retrospectively rated policies:</t>
  </si>
  <si>
    <r>
      <t>(</t>
    </r>
    <r>
      <rPr>
        <i/>
        <sz val="12"/>
        <color theme="8" tint="-0.499984740745262"/>
        <rFont val="Times New Roman"/>
        <family val="1"/>
      </rPr>
      <t>0.5 points</t>
    </r>
    <r>
      <rPr>
        <sz val="12"/>
        <color theme="8" tint="-0.499984740745262"/>
        <rFont val="Times New Roman"/>
        <family val="1"/>
      </rPr>
      <t>)  Describe the two methods for calculating PDLD ratios.</t>
    </r>
  </si>
  <si>
    <r>
      <t>(</t>
    </r>
    <r>
      <rPr>
        <i/>
        <sz val="12"/>
        <color theme="8" tint="-0.499984740745262"/>
        <rFont val="Times New Roman"/>
        <family val="1"/>
      </rPr>
      <t>1 point</t>
    </r>
    <r>
      <rPr>
        <sz val="12"/>
        <color theme="8" tint="-0.499984740745262"/>
        <rFont val="Times New Roman"/>
        <family val="1"/>
      </rPr>
      <t>)  Describe how the PDLD method differs from Fitzgibbon’s method with respect to the function relating retrospective premium to losses incurred.</t>
    </r>
  </si>
  <si>
    <r>
      <t>(</t>
    </r>
    <r>
      <rPr>
        <i/>
        <sz val="12"/>
        <color theme="8" tint="-0.499984740745262"/>
        <rFont val="Times New Roman"/>
        <family val="1"/>
      </rPr>
      <t>1 point</t>
    </r>
    <r>
      <rPr>
        <sz val="12"/>
        <color theme="8" tint="-0.499984740745262"/>
        <rFont val="Times New Roman"/>
        <family val="1"/>
      </rPr>
      <t xml:space="preserve">)  Describe what each of </t>
    </r>
    <r>
      <rPr>
        <i/>
        <sz val="12"/>
        <color theme="8" tint="-0.499984740745262"/>
        <rFont val="Times New Roman"/>
        <family val="1"/>
      </rPr>
      <t>A</t>
    </r>
    <r>
      <rPr>
        <sz val="12"/>
        <color theme="8" tint="-0.499984740745262"/>
        <rFont val="Times New Roman"/>
        <family val="1"/>
      </rPr>
      <t xml:space="preserve">, </t>
    </r>
    <r>
      <rPr>
        <i/>
        <sz val="12"/>
        <color theme="8" tint="-0.499984740745262"/>
        <rFont val="Times New Roman"/>
        <family val="1"/>
      </rPr>
      <t>B</t>
    </r>
    <r>
      <rPr>
        <sz val="12"/>
        <color theme="8" tint="-0.499984740745262"/>
        <rFont val="Times New Roman"/>
        <family val="1"/>
      </rPr>
      <t xml:space="preserve">, and </t>
    </r>
    <r>
      <rPr>
        <i/>
        <sz val="12"/>
        <color theme="8" tint="-0.499984740745262"/>
        <rFont val="Times New Roman"/>
        <family val="1"/>
      </rPr>
      <t>x</t>
    </r>
    <r>
      <rPr>
        <sz val="12"/>
        <color theme="8" tint="-0.499984740745262"/>
        <rFont val="Times New Roman"/>
        <family val="1"/>
      </rPr>
      <t xml:space="preserve"> represent.</t>
    </r>
  </si>
  <si>
    <r>
      <t xml:space="preserve">In Fitzgibbon’s method, a linear function relates retrospective premium to losses incurred.  This can be restated as </t>
    </r>
    <r>
      <rPr>
        <i/>
        <sz val="12"/>
        <color theme="8" tint="-0.499984740745262"/>
        <rFont val="Times New Roman"/>
        <family val="1"/>
      </rPr>
      <t>Y</t>
    </r>
    <r>
      <rPr>
        <sz val="12"/>
        <color theme="8" tint="-0.499984740745262"/>
        <rFont val="Times New Roman"/>
        <family val="1"/>
      </rPr>
      <t xml:space="preserve"> = </t>
    </r>
    <r>
      <rPr>
        <i/>
        <sz val="12"/>
        <color theme="8" tint="-0.499984740745262"/>
        <rFont val="Times New Roman"/>
        <family val="1"/>
      </rPr>
      <t>A</t>
    </r>
    <r>
      <rPr>
        <sz val="12"/>
        <color theme="8" tint="-0.499984740745262"/>
        <rFont val="Times New Roman"/>
        <family val="1"/>
      </rPr>
      <t xml:space="preserve"> + </t>
    </r>
    <r>
      <rPr>
        <i/>
        <sz val="12"/>
        <color theme="8" tint="-0.499984740745262"/>
        <rFont val="Times New Roman"/>
        <family val="1"/>
      </rPr>
      <t>Bx</t>
    </r>
    <r>
      <rPr>
        <sz val="12"/>
        <color theme="8" tint="-0.499984740745262"/>
        <rFont val="Times New Roman"/>
        <family val="1"/>
      </rPr>
      <t xml:space="preserve"> where </t>
    </r>
    <r>
      <rPr>
        <i/>
        <sz val="12"/>
        <color theme="8" tint="-0.499984740745262"/>
        <rFont val="Times New Roman"/>
        <family val="1"/>
      </rPr>
      <t>Y</t>
    </r>
    <r>
      <rPr>
        <sz val="12"/>
        <color theme="8" tint="-0.499984740745262"/>
        <rFont val="Times New Roman"/>
        <family val="1"/>
      </rPr>
      <t xml:space="preserve"> is the retrospective adjustment as a percentage of standard premium.</t>
    </r>
  </si>
  <si>
    <r>
      <t>·</t>
    </r>
    <r>
      <rPr>
        <sz val="7"/>
        <color theme="8" tint="-0.499984740745262"/>
        <rFont val="Times New Roman"/>
        <family val="1"/>
      </rPr>
      <t xml:space="preserve">          </t>
    </r>
    <r>
      <rPr>
        <sz val="12"/>
        <color theme="8" tint="-0.499984740745262"/>
        <rFont val="Times New Roman"/>
        <family val="1"/>
      </rPr>
      <t>PDLD method (developed by Teng and Perkins)</t>
    </r>
  </si>
  <si>
    <r>
      <t>·</t>
    </r>
    <r>
      <rPr>
        <sz val="7"/>
        <color theme="8" tint="-0.499984740745262"/>
        <rFont val="Times New Roman"/>
        <family val="1"/>
      </rPr>
      <t>          </t>
    </r>
    <r>
      <rPr>
        <sz val="12"/>
        <color theme="8" tint="-0.499984740745262"/>
        <rFont val="Times New Roman"/>
        <family val="1"/>
      </rPr>
      <t>Fitzgibbon’s method</t>
    </r>
  </si>
  <si>
    <r>
      <t>(</t>
    </r>
    <r>
      <rPr>
        <i/>
        <sz val="12"/>
        <color theme="8" tint="-0.499984740745262"/>
        <rFont val="Times New Roman"/>
        <family val="1"/>
      </rPr>
      <t>4 points</t>
    </r>
    <r>
      <rPr>
        <sz val="12"/>
        <color theme="8" tint="-0.499984740745262"/>
        <rFont val="Times New Roman"/>
        <family val="1"/>
      </rPr>
      <t>)  The premium asset on retrospectively rated polices may be calculated using either of the following methods:</t>
    </r>
  </si>
  <si>
    <t>RY6</t>
  </si>
  <si>
    <t>RY5</t>
  </si>
  <si>
    <t>RY4</t>
  </si>
  <si>
    <t>RY3</t>
  </si>
  <si>
    <t>RY2</t>
  </si>
  <si>
    <t>RY1</t>
  </si>
  <si>
    <t>(iii) Mature</t>
  </si>
  <si>
    <t>(ii) Third year</t>
  </si>
  <si>
    <t>(i) First year</t>
  </si>
  <si>
    <t>Third year</t>
  </si>
  <si>
    <t>First year</t>
  </si>
  <si>
    <r>
      <t>(</t>
    </r>
    <r>
      <rPr>
        <i/>
        <sz val="12"/>
        <color theme="8" tint="-0.499984740745262"/>
        <rFont val="Times New Roman"/>
        <family val="1"/>
      </rPr>
      <t>2.5 points</t>
    </r>
    <r>
      <rPr>
        <sz val="12"/>
        <color theme="8" tint="-0.499984740745262"/>
        <rFont val="Times New Roman"/>
        <family val="1"/>
      </rPr>
      <t>)  Calculate tail factors for a claims-made policy for the following maturities:</t>
    </r>
  </si>
  <si>
    <t>.</t>
  </si>
  <si>
    <t xml:space="preserve">The annual accident year trend is </t>
  </si>
  <si>
    <t>Occurrence + 5</t>
  </si>
  <si>
    <t>Occurrence + 4</t>
  </si>
  <si>
    <t>Occurrence + 3</t>
  </si>
  <si>
    <t>Occurrence + 2</t>
  </si>
  <si>
    <t>Occurrence + 1</t>
  </si>
  <si>
    <t>Occurrence</t>
  </si>
  <si>
    <t>Percent</t>
  </si>
  <si>
    <t>Claims Incurred in an 
Accident Year are Reported in the Year of</t>
  </si>
  <si>
    <t>An insurer writes claims-made coverage with a 6-year reporting pattern.  The reporting pattern is as follows:</t>
  </si>
  <si>
    <t>Tail policy</t>
  </si>
  <si>
    <t>Step factor</t>
  </si>
  <si>
    <r>
      <t>(</t>
    </r>
    <r>
      <rPr>
        <i/>
        <sz val="12"/>
        <color theme="8" tint="-0.499984740745262"/>
        <rFont val="Times New Roman"/>
        <family val="1"/>
      </rPr>
      <t>1.5 points</t>
    </r>
    <r>
      <rPr>
        <sz val="12"/>
        <color theme="8" tint="-0.499984740745262"/>
        <rFont val="Times New Roman"/>
        <family val="1"/>
      </rPr>
      <t>)  Describe the following terms with respect to claims-made insurance:</t>
    </r>
  </si>
  <si>
    <r>
      <t>(</t>
    </r>
    <r>
      <rPr>
        <i/>
        <sz val="12"/>
        <color theme="8" tint="-0.499984740745262"/>
        <rFont val="Times New Roman"/>
        <family val="1"/>
      </rPr>
      <t>4 points</t>
    </r>
    <r>
      <rPr>
        <sz val="12"/>
        <color theme="8" tint="-0.499984740745262"/>
        <rFont val="Times New Roman"/>
        <family val="1"/>
      </rPr>
      <t>)</t>
    </r>
  </si>
  <si>
    <t>Response for part (a) is to be provided in the Word document.</t>
  </si>
  <si>
    <t>Using trial and error, a value between 1.068 (ILF at 1.5 million) and 1.135 (ILF at 2.5 million) was selected such that the marginal rates are decreasing. The graph should show a smooth curve increasing at a decreasing rate.</t>
  </si>
  <si>
    <t>Limit</t>
  </si>
  <si>
    <t>Answer in the space below. A graph of ILF to limit is provided for your convenience. You are not required to use the graph to earn full credit.</t>
  </si>
  <si>
    <r>
      <t>(</t>
    </r>
    <r>
      <rPr>
        <i/>
        <sz val="12"/>
        <color theme="8" tint="-0.499984740745262"/>
        <rFont val="Times New Roman"/>
        <family val="1"/>
      </rPr>
      <t>1 point</t>
    </r>
    <r>
      <rPr>
        <sz val="12"/>
        <color theme="8" tint="-0.499984740745262"/>
        <rFont val="Times New Roman"/>
        <family val="1"/>
      </rPr>
      <t>)  Recommend an ILF for a 2,000,000 indemnity limit.  Justify your recommendation.</t>
    </r>
  </si>
  <si>
    <t>Marginal rates decreasing with increasing limit so ILFs pass the consistency test.</t>
  </si>
  <si>
    <r>
      <t>(</t>
    </r>
    <r>
      <rPr>
        <i/>
        <sz val="12"/>
        <color theme="8" tint="-0.499984740745262"/>
        <rFont val="Times New Roman"/>
        <family val="1"/>
      </rPr>
      <t>1 point</t>
    </r>
    <r>
      <rPr>
        <sz val="12"/>
        <color theme="8" tint="-0.499984740745262"/>
        <rFont val="Times New Roman"/>
        <family val="1"/>
      </rPr>
      <t>)  Test the consistency of the ILFs calculated in part (b).</t>
    </r>
  </si>
  <si>
    <t>Sev by Lim</t>
  </si>
  <si>
    <t>Claims by Limit</t>
  </si>
  <si>
    <t>Cumul. Amount</t>
  </si>
  <si>
    <t>(iv)          5,000,000</t>
  </si>
  <si>
    <t>(iii)          3,500,000</t>
  </si>
  <si>
    <t>(ii)           2,500,000</t>
  </si>
  <si>
    <t>(i)            1,500,000</t>
  </si>
  <si>
    <r>
      <t>(</t>
    </r>
    <r>
      <rPr>
        <i/>
        <sz val="12"/>
        <color theme="8" tint="-0.499984740745262"/>
        <rFont val="Times New Roman"/>
        <family val="1"/>
      </rPr>
      <t>2 points</t>
    </r>
    <r>
      <rPr>
        <sz val="12"/>
        <color theme="8" tint="-0.499984740745262"/>
        <rFont val="Times New Roman"/>
        <family val="1"/>
      </rPr>
      <t>)  Calculate the observed increased limits factors (ILFs) for the following indemnity limits, relative to a basic indemnity limit of 1,000,000:</t>
    </r>
  </si>
  <si>
    <r>
      <t>(</t>
    </r>
    <r>
      <rPr>
        <i/>
        <sz val="12"/>
        <color theme="8" tint="-0.499984740745262"/>
        <rFont val="Times New Roman"/>
        <family val="1"/>
      </rPr>
      <t>1 point</t>
    </r>
    <r>
      <rPr>
        <sz val="12"/>
        <color theme="8" tint="-0.499984740745262"/>
        <rFont val="Times New Roman"/>
        <family val="1"/>
      </rPr>
      <t>)  Describe two issues that should be investigated with respect to the industry data used in this analysis.</t>
    </r>
  </si>
  <si>
    <r>
      <t>·</t>
    </r>
    <r>
      <rPr>
        <sz val="7"/>
        <color theme="8" tint="-0.499984740745262"/>
        <rFont val="Times New Roman"/>
        <family val="1"/>
      </rPr>
      <t xml:space="preserve">       </t>
    </r>
    <r>
      <rPr>
        <sz val="12"/>
        <color theme="8" tint="-0.499984740745262"/>
        <rFont val="Times New Roman"/>
        <family val="1"/>
      </rPr>
      <t>ALAE is unlimited.</t>
    </r>
  </si>
  <si>
    <r>
      <t>·</t>
    </r>
    <r>
      <rPr>
        <sz val="7"/>
        <color theme="8" tint="-0.499984740745262"/>
        <rFont val="Times New Roman"/>
        <family val="1"/>
      </rPr>
      <t xml:space="preserve">       </t>
    </r>
    <r>
      <rPr>
        <sz val="12"/>
        <color theme="8" tint="-0.499984740745262"/>
        <rFont val="Times New Roman"/>
        <family val="1"/>
      </rPr>
      <t>The line of business for the industry data is similar to that being looked at by the insurer.</t>
    </r>
  </si>
  <si>
    <r>
      <t>·</t>
    </r>
    <r>
      <rPr>
        <sz val="7"/>
        <color theme="8" tint="-0.499984740745262"/>
        <rFont val="Times New Roman"/>
        <family val="1"/>
      </rPr>
      <t xml:space="preserve">       </t>
    </r>
    <r>
      <rPr>
        <sz val="12"/>
        <color theme="8" tint="-0.499984740745262"/>
        <rFont val="Times New Roman"/>
        <family val="1"/>
      </rPr>
      <t>Data is evaluated as of December 31, 2022 and includes accident years 2018 and 2019 combined.</t>
    </r>
  </si>
  <si>
    <t>ALAE % of Indemnity</t>
  </si>
  <si>
    <t>Indemnity Severity in Interval</t>
  </si>
  <si>
    <t>Indemnity Range
 (000)</t>
  </si>
  <si>
    <r>
      <t>(</t>
    </r>
    <r>
      <rPr>
        <i/>
        <sz val="12"/>
        <color theme="8" tint="-0.499984740745262"/>
        <rFont val="Times New Roman"/>
        <family val="1"/>
      </rPr>
      <t>5 points</t>
    </r>
    <r>
      <rPr>
        <sz val="12"/>
        <color theme="8" tint="-0.499984740745262"/>
        <rFont val="Times New Roman"/>
        <family val="1"/>
      </rPr>
      <t>)  You are conducting an increased limits analysis for an insurer looking to enter a liability line of business.  You are given the following insurance industry aggregated claims data by size of claim:</t>
    </r>
  </si>
  <si>
    <t>Question 12</t>
  </si>
  <si>
    <t>Estimated Future Premium</t>
  </si>
  <si>
    <t>Expected Future Loss Emergence</t>
  </si>
  <si>
    <r>
      <t>(</t>
    </r>
    <r>
      <rPr>
        <i/>
        <sz val="12"/>
        <color theme="8" tint="-0.499984740745262"/>
        <rFont val="Times New Roman"/>
        <family val="1"/>
      </rPr>
      <t>1 point</t>
    </r>
    <r>
      <rPr>
        <sz val="12"/>
        <color theme="8" tint="-0.499984740745262"/>
        <rFont val="Times New Roman"/>
        <family val="1"/>
      </rPr>
      <t>)  Calculate the premium asset on retrospectively rated policies as of December 31, 2022.</t>
    </r>
  </si>
  <si>
    <t>1. Retro rating parameters are changing significantly over time.
2. Historical EPLEs are not indicative of current EPLEs.</t>
  </si>
  <si>
    <r>
      <t>(</t>
    </r>
    <r>
      <rPr>
        <i/>
        <sz val="12"/>
        <color theme="8" tint="-0.499984740745262"/>
        <rFont val="Times New Roman"/>
        <family val="1"/>
      </rPr>
      <t>1 point</t>
    </r>
    <r>
      <rPr>
        <sz val="12"/>
        <color theme="8" tint="-0.499984740745262"/>
        <rFont val="Times New Roman"/>
        <family val="1"/>
      </rPr>
      <t>)  Provide two situations in which one would favor the formula approach to estimating PDLD ratios over the empirical approach assuming there is sufficient data to use the empirical approach.</t>
    </r>
  </si>
  <si>
    <t>CPDLD4</t>
  </si>
  <si>
    <t>CPDLD3</t>
  </si>
  <si>
    <t>EPLE = Expected Percentage of Loss Emerged</t>
  </si>
  <si>
    <t>PDLD4</t>
  </si>
  <si>
    <t>PDLD3</t>
  </si>
  <si>
    <t>Incremental EPLE</t>
  </si>
  <si>
    <t>Retro Adj. Years</t>
  </si>
  <si>
    <r>
      <t>(</t>
    </r>
    <r>
      <rPr>
        <i/>
        <sz val="12"/>
        <color theme="8" tint="-0.499984740745262"/>
        <rFont val="Times New Roman"/>
        <family val="1"/>
      </rPr>
      <t>2 points</t>
    </r>
    <r>
      <rPr>
        <sz val="12"/>
        <color theme="8" tint="-0.499984740745262"/>
        <rFont val="Times New Roman"/>
        <family val="1"/>
      </rPr>
      <t xml:space="preserve">)  Calculate the implied Cumulative Premium Development to Loss Development (CPDLD) ratios for the first to fourth retrospective rating adjustments using the formula approach. </t>
    </r>
  </si>
  <si>
    <t>Completed 
Retro Adjustments 
as of 12/31/22</t>
  </si>
  <si>
    <t>Premium 
Booked 
as of 
12/31/22</t>
  </si>
  <si>
    <t>Premium 
Booked from Prior 
Adjustment</t>
  </si>
  <si>
    <t>Losses 
Reported at 
Prior Retro 
Adjustment</t>
  </si>
  <si>
    <t>Ultimate 
Losses</t>
  </si>
  <si>
    <t>Incremental Loss Capping Ratio</t>
  </si>
  <si>
    <t>Cumulative Expected Percentage of Loss Emerged</t>
  </si>
  <si>
    <t>Retrospective Adjustment</t>
  </si>
  <si>
    <t>Tax multiplier (TM)</t>
  </si>
  <si>
    <t>Loss conversion factor (LCF)</t>
  </si>
  <si>
    <t>Expected ultimate loss divided by standard premium (ELR)</t>
  </si>
  <si>
    <t>Basic premium factor (BPF)</t>
  </si>
  <si>
    <t>Retrospective Rating Parameters</t>
  </si>
  <si>
    <r>
      <t>(</t>
    </r>
    <r>
      <rPr>
        <i/>
        <sz val="12"/>
        <color theme="8" tint="-0.499984740745262"/>
        <rFont val="Times New Roman"/>
        <family val="1"/>
      </rPr>
      <t>4 points</t>
    </r>
    <r>
      <rPr>
        <sz val="12"/>
        <color theme="8" tint="-0.499984740745262"/>
        <rFont val="Times New Roman"/>
        <family val="1"/>
      </rPr>
      <t>)  You are given the following information for a general insurance company that writes retrospectively rated policies:</t>
    </r>
  </si>
  <si>
    <t xml:space="preserve">This is because they will lack coverage for claims incurred prior to January 1, 2024, but not yet reported. This would entail claims incurred in 2023 with accident year lags 1 to 3, claims incurred in 2022 with accident year lags 2 and 3, and claims incurred in 2021 with accident year lag 3. </t>
  </si>
  <si>
    <r>
      <t>(</t>
    </r>
    <r>
      <rPr>
        <i/>
        <sz val="12"/>
        <color theme="8" tint="-0.499984740745262"/>
        <rFont val="Times New Roman"/>
        <family val="1"/>
      </rPr>
      <t>1 point</t>
    </r>
    <r>
      <rPr>
        <sz val="12"/>
        <color theme="8" tint="-0.499984740745262"/>
        <rFont val="Times New Roman"/>
        <family val="1"/>
      </rPr>
      <t>)  Explain why members with claims-made policies for prior years will have a coverage gap if they decide to get coverage with the association on January 1, 2024.</t>
    </r>
  </si>
  <si>
    <t xml:space="preserve">The association has decided upon obtaining occurrence coverage policies for its members.  All members that obtained claims-made coverage policies had effective dates of January 1 with a policy term of one year. </t>
  </si>
  <si>
    <t>of the AY 2024 expected ultimate claims.</t>
  </si>
  <si>
    <t>RY 2024 expected ultimate claims are</t>
  </si>
  <si>
    <t>AY 2024</t>
  </si>
  <si>
    <t>RY 2024</t>
  </si>
  <si>
    <t>RY 2027</t>
  </si>
  <si>
    <t>RY 2026</t>
  </si>
  <si>
    <t>RY 2025</t>
  </si>
  <si>
    <t>RY 2023</t>
  </si>
  <si>
    <t>RY 2022</t>
  </si>
  <si>
    <t>RY 2021</t>
  </si>
  <si>
    <t xml:space="preserve">Report year (RY) claims by accident year (AY) lag </t>
  </si>
  <si>
    <t>Assume report year 2021 claims total is 100</t>
  </si>
  <si>
    <t>Trend factor</t>
  </si>
  <si>
    <r>
      <t>(</t>
    </r>
    <r>
      <rPr>
        <i/>
        <sz val="12"/>
        <color theme="8" tint="-0.499984740745262"/>
        <rFont val="Times New Roman"/>
        <family val="1"/>
      </rPr>
      <t>1 point</t>
    </r>
    <r>
      <rPr>
        <sz val="12"/>
        <color theme="8" tint="-0.499984740745262"/>
        <rFont val="Times New Roman"/>
        <family val="1"/>
      </rPr>
      <t>)  Compare the size of expected ultimate claims for report year 2024 to expected ultimate claims for accident year 2024.</t>
    </r>
  </si>
  <si>
    <t>Trend</t>
  </si>
  <si>
    <r>
      <t>·</t>
    </r>
    <r>
      <rPr>
        <sz val="7"/>
        <color theme="8" tint="-0.499984740745262"/>
        <rFont val="Times New Roman"/>
        <family val="1"/>
      </rPr>
      <t xml:space="preserve">       </t>
    </r>
    <r>
      <rPr>
        <sz val="12"/>
        <color theme="8" tint="-0.499984740745262"/>
        <rFont val="Times New Roman"/>
        <family val="1"/>
      </rPr>
      <t>The annual claim trend is 8.5%.</t>
    </r>
  </si>
  <si>
    <t>from accident year lag 3</t>
  </si>
  <si>
    <t>from accident year lag 2</t>
  </si>
  <si>
    <t>from accident year lag 1</t>
  </si>
  <si>
    <t>from accident year lag 0</t>
  </si>
  <si>
    <r>
      <t>·</t>
    </r>
    <r>
      <rPr>
        <sz val="7"/>
        <color theme="8" tint="-0.499984740745262"/>
        <rFont val="Times New Roman"/>
        <family val="1"/>
      </rPr>
      <t xml:space="preserve">       </t>
    </r>
    <r>
      <rPr>
        <sz val="12"/>
        <color theme="8" tint="-0.499984740745262"/>
        <rFont val="Times New Roman"/>
        <family val="1"/>
      </rPr>
      <t>Report year 2021 ultimate claims are comprised of the following:</t>
    </r>
  </si>
  <si>
    <t>You are provided with the following historical information for the association:</t>
  </si>
  <si>
    <t xml:space="preserve">All of the association members have been practicing for at least four years.  Some members have purchased claims-made coverage in the past, but premiums were considered too high. </t>
  </si>
  <si>
    <t xml:space="preserve">A regional association of professionals is considering a malpractice coverage program for its members.  The members were experiencing availability and affordability issues in the insurance market.  It is thought that better terms can be had in the market by negotiating as a group. </t>
  </si>
  <si>
    <t>• Greater opportunity for investment income.
• Less risk of coverage gap.</t>
  </si>
  <si>
    <r>
      <t>(</t>
    </r>
    <r>
      <rPr>
        <i/>
        <sz val="12"/>
        <color theme="8" tint="-0.499984740745262"/>
        <rFont val="Times New Roman"/>
        <family val="1"/>
      </rPr>
      <t>0.5 points</t>
    </r>
    <r>
      <rPr>
        <sz val="12"/>
        <color theme="8" tint="-0.499984740745262"/>
        <rFont val="Times New Roman"/>
        <family val="1"/>
      </rPr>
      <t>)  Identify two advantages of occurrence coverage.</t>
    </r>
  </si>
  <si>
    <t>• Less uncertainty in pricing as ultimate amounts do not require pure IBNR. 
• Less effect on annual claim amounts due to sudden changes in either the trend or the reporting pattern.</t>
  </si>
  <si>
    <r>
      <t>(</t>
    </r>
    <r>
      <rPr>
        <i/>
        <sz val="12"/>
        <color theme="8" tint="-0.499984740745262"/>
        <rFont val="Times New Roman"/>
        <family val="1"/>
      </rPr>
      <t>0.5 points</t>
    </r>
    <r>
      <rPr>
        <sz val="12"/>
        <color theme="8" tint="-0.499984740745262"/>
        <rFont val="Times New Roman"/>
        <family val="1"/>
      </rPr>
      <t>)  Identify two advantages of claims-made coverage.</t>
    </r>
  </si>
  <si>
    <r>
      <t>(</t>
    </r>
    <r>
      <rPr>
        <i/>
        <sz val="12"/>
        <color theme="8" tint="-0.499984740745262"/>
        <rFont val="Times New Roman"/>
        <family val="1"/>
      </rPr>
      <t>3 points</t>
    </r>
    <r>
      <rPr>
        <sz val="12"/>
        <color theme="8" tint="-0.499984740745262"/>
        <rFont val="Times New Roman"/>
        <family val="1"/>
      </rPr>
      <t>)</t>
    </r>
  </si>
  <si>
    <t>none</t>
  </si>
  <si>
    <t>Coinsurance Penalty</t>
  </si>
  <si>
    <t>Coins Req.</t>
  </si>
  <si>
    <t>Straight Deductible</t>
  </si>
  <si>
    <t>Insured 
Limit</t>
  </si>
  <si>
    <t>Property 
Value</t>
  </si>
  <si>
    <t>Policy</t>
  </si>
  <si>
    <t>Insurance company paid after coinsurance, limit and deductible for loss amount:</t>
  </si>
  <si>
    <t>(ii)           350,000</t>
  </si>
  <si>
    <t>(i)            3,500</t>
  </si>
  <si>
    <r>
      <t>(</t>
    </r>
    <r>
      <rPr>
        <i/>
        <sz val="12"/>
        <color theme="8" tint="-0.499984740745262"/>
        <rFont val="Times New Roman"/>
        <family val="1"/>
      </rPr>
      <t>1.5 points</t>
    </r>
    <r>
      <rPr>
        <sz val="12"/>
        <color theme="8" tint="-0.499984740745262"/>
        <rFont val="Times New Roman"/>
        <family val="1"/>
      </rPr>
      <t>)  Determine the total amount paid by the insurance company if the following loss amounts occurred on each of policies A to D:</t>
    </r>
  </si>
  <si>
    <r>
      <t>·</t>
    </r>
    <r>
      <rPr>
        <sz val="7"/>
        <color theme="8" tint="-0.499984740745262"/>
        <rFont val="Times New Roman"/>
        <family val="1"/>
      </rPr>
      <t xml:space="preserve">       </t>
    </r>
    <r>
      <rPr>
        <sz val="12"/>
        <color theme="8" tint="-0.499984740745262"/>
        <rFont val="Times New Roman"/>
        <family val="1"/>
      </rPr>
      <t>deductible</t>
    </r>
  </si>
  <si>
    <r>
      <t>·</t>
    </r>
    <r>
      <rPr>
        <sz val="7"/>
        <color theme="8" tint="-0.499984740745262"/>
        <rFont val="Times New Roman"/>
        <family val="1"/>
      </rPr>
      <t xml:space="preserve">       </t>
    </r>
    <r>
      <rPr>
        <sz val="12"/>
        <color theme="8" tint="-0.499984740745262"/>
        <rFont val="Times New Roman"/>
        <family val="1"/>
      </rPr>
      <t>limit</t>
    </r>
  </si>
  <si>
    <r>
      <t>·</t>
    </r>
    <r>
      <rPr>
        <sz val="7"/>
        <color theme="8" tint="-0.499984740745262"/>
        <rFont val="Times New Roman"/>
        <family val="1"/>
      </rPr>
      <t xml:space="preserve">       </t>
    </r>
    <r>
      <rPr>
        <sz val="12"/>
        <color theme="8" tint="-0.499984740745262"/>
        <rFont val="Times New Roman"/>
        <family val="1"/>
      </rPr>
      <t>coinsurance requirement</t>
    </r>
  </si>
  <si>
    <t xml:space="preserve">The policy terms are applied in the following order: </t>
  </si>
  <si>
    <t>90% of property value</t>
  </si>
  <si>
    <t>D</t>
  </si>
  <si>
    <t>None</t>
  </si>
  <si>
    <t>100% of property value</t>
  </si>
  <si>
    <t>85% of property value</t>
  </si>
  <si>
    <t>Coinsurance Requirement</t>
  </si>
  <si>
    <t>You are given the following information for four property insurance policies:</t>
  </si>
  <si>
    <t>(i)  Franchise deductible –  the insurer pays the full amount of the loss if the covered loss exceeds the deductible amount; otherwise the insurer pays nothing.
(ii) Disappearing deductible – a combination of a straight deductible and a franchise deductible.</t>
  </si>
  <si>
    <t>(ii)           Disappearing deductible</t>
  </si>
  <si>
    <t>(i)            Franchise deductible</t>
  </si>
  <si>
    <r>
      <t>(</t>
    </r>
    <r>
      <rPr>
        <i/>
        <sz val="12"/>
        <color theme="8" tint="-0.499984740745262"/>
        <rFont val="Times New Roman"/>
        <family val="1"/>
      </rPr>
      <t>1 point</t>
    </r>
    <r>
      <rPr>
        <sz val="12"/>
        <color theme="8" tint="-0.499984740745262"/>
        <rFont val="Times New Roman"/>
        <family val="1"/>
      </rPr>
      <t>)  Define the following terms:</t>
    </r>
  </si>
  <si>
    <t>Moral hazard involves the character of the insured regarding the potential to gain from insurance. Morale hazard involves an insured's indifference to loss because they have insurance protection. A deductible shifts some of the burden from a loss to the insured. This will assist in reducing acts of both moral and morale hazard as there will not be full compensation for the loss.</t>
  </si>
  <si>
    <r>
      <t>(</t>
    </r>
    <r>
      <rPr>
        <i/>
        <sz val="12"/>
        <color theme="8" tint="-0.499984740745262"/>
        <rFont val="Times New Roman"/>
        <family val="1"/>
      </rPr>
      <t>1.5 points</t>
    </r>
    <r>
      <rPr>
        <sz val="12"/>
        <color theme="8" tint="-0.499984740745262"/>
        <rFont val="Times New Roman"/>
        <family val="1"/>
      </rPr>
      <t>)  Explain how insurance policy deductibles assist in reducing both moral and morale hazard.</t>
    </r>
  </si>
  <si>
    <r>
      <t>(</t>
    </r>
    <r>
      <rPr>
        <i/>
        <sz val="12"/>
        <color theme="8" tint="-0.499984740745262"/>
        <rFont val="Times New Roman"/>
        <family val="1"/>
      </rPr>
      <t>4 points</t>
    </r>
    <r>
      <rPr>
        <sz val="12"/>
        <color theme="8" tint="-0.499984740745262"/>
        <rFont val="Times New Roman"/>
        <family val="1"/>
      </rPr>
      <t xml:space="preserve">)   </t>
    </r>
  </si>
  <si>
    <t>It follows the actual retrospective premium adjustment formula, so it's easier to explain and justify to underwriters.</t>
  </si>
  <si>
    <r>
      <t>(</t>
    </r>
    <r>
      <rPr>
        <i/>
        <sz val="12"/>
        <color theme="4" tint="-0.499984740745262"/>
        <rFont val="Times New Roman"/>
        <family val="1"/>
      </rPr>
      <t>0.5 points</t>
    </r>
    <r>
      <rPr>
        <sz val="12"/>
        <color theme="4" tint="-0.499984740745262"/>
        <rFont val="Times New Roman"/>
        <family val="1"/>
      </rPr>
      <t>)  Provide a reason the PDLD method might be preferred to Fitzgibbon’s method.</t>
    </r>
  </si>
  <si>
    <r>
      <t>·</t>
    </r>
    <r>
      <rPr>
        <sz val="12"/>
        <color theme="1"/>
        <rFont val="Times New Roman"/>
        <family val="1"/>
      </rPr>
      <t>       Historical patterns of PDLD show stability.</t>
    </r>
  </si>
  <si>
    <r>
      <t>·</t>
    </r>
    <r>
      <rPr>
        <sz val="12"/>
        <color theme="1"/>
        <rFont val="Times New Roman"/>
        <family val="1"/>
      </rPr>
      <t>       Different retrospective parameters apply to many different regions.</t>
    </r>
  </si>
  <si>
    <r>
      <t>(</t>
    </r>
    <r>
      <rPr>
        <i/>
        <sz val="12"/>
        <color theme="4" tint="-0.499984740745262"/>
        <rFont val="Times New Roman"/>
        <family val="1"/>
      </rPr>
      <t>0.5 points</t>
    </r>
    <r>
      <rPr>
        <sz val="12"/>
        <color theme="4" tint="-0.499984740745262"/>
        <rFont val="Times New Roman"/>
        <family val="1"/>
      </rPr>
      <t>)  Identify two situations where an empirical approach to estimating PDLD ratios would be preferred to the formula approach.</t>
    </r>
  </si>
  <si>
    <t>Expected Future Loss Emergence × CPDLD + Premium Booked from Prior Adjustment – Premium Booked as of the valuation date.</t>
  </si>
  <si>
    <t xml:space="preserve">Premium Asset = </t>
  </si>
  <si>
    <t xml:space="preserve">As of the valuation date, for each policy year, </t>
  </si>
  <si>
    <t>(0.5 points)  State the formula to estimate the premium asset that includes the CPLD ratio as one of the elements in the formula.</t>
  </si>
  <si>
    <t>PDLD</t>
  </si>
  <si>
    <t>Cumulative Loss Capping Ratio</t>
  </si>
  <si>
    <t>Emerged LR</t>
  </si>
  <si>
    <t>EPLE</t>
  </si>
  <si>
    <r>
      <t>(</t>
    </r>
    <r>
      <rPr>
        <i/>
        <sz val="12"/>
        <color rgb="FF002060"/>
        <rFont val="Times New Roman"/>
        <family val="1"/>
      </rPr>
      <t>2.5 points</t>
    </r>
    <r>
      <rPr>
        <sz val="12"/>
        <color rgb="FF002060"/>
        <rFont val="Times New Roman"/>
        <family val="1"/>
      </rPr>
      <t>)  Calculate the cumulative premium development to loss development (CPDLD) ratio for each retrospective adjustment period using the formula approach.</t>
    </r>
  </si>
  <si>
    <t>Loss elimination ratio 
from retro formula max
 and min 
(LEMM)</t>
  </si>
  <si>
    <t>Loss elimination ratio 
from per accident limit 
(LEPA)</t>
  </si>
  <si>
    <t>Expected percentage of 
loss emerged 
(EPLE)</t>
  </si>
  <si>
    <t>Retrospective 
Adjustment</t>
  </si>
  <si>
    <t>Expected loss ratio (ELR)</t>
  </si>
  <si>
    <t>million</t>
  </si>
  <si>
    <t>Standard premium (SP)</t>
  </si>
  <si>
    <t>Basic premium (BP)</t>
  </si>
  <si>
    <r>
      <t>(</t>
    </r>
    <r>
      <rPr>
        <i/>
        <sz val="12"/>
        <color theme="4" tint="-0.499984740745262"/>
        <rFont val="Times New Roman"/>
        <family val="1"/>
      </rPr>
      <t>4 points</t>
    </r>
    <r>
      <rPr>
        <sz val="12"/>
        <color theme="4" tint="-0.499984740745262"/>
        <rFont val="Times New Roman"/>
        <family val="1"/>
      </rPr>
      <t xml:space="preserve">)  You are estimating the premium asset for retrospectively rated polices using the PDLD method developed by Teng and Perkins. You are given the following information for a retrospectively rated book of business.  </t>
    </r>
  </si>
  <si>
    <t xml:space="preserve">Claim payment </t>
  </si>
  <si>
    <t xml:space="preserve">If after the coinsurance penalty, </t>
  </si>
  <si>
    <t xml:space="preserve">If before the coinsurance penalty, </t>
  </si>
  <si>
    <t xml:space="preserve">The policy deductible may come before or after the coinsurance penalty depending on the policy wording. </t>
  </si>
  <si>
    <t>deductible</t>
  </si>
  <si>
    <t>(ii)            The policy has a deductible of 2,500.</t>
  </si>
  <si>
    <t xml:space="preserve">Coinsurance penalty % </t>
  </si>
  <si>
    <t>(i)              The policy has no deductible.</t>
  </si>
  <si>
    <r>
      <t>(d)             (</t>
    </r>
    <r>
      <rPr>
        <i/>
        <sz val="12"/>
        <color rgb="FF002060"/>
        <rFont val="Times New Roman"/>
        <family val="1"/>
      </rPr>
      <t>1.5 points</t>
    </r>
    <r>
      <rPr>
        <sz val="12"/>
        <color rgb="FF002060"/>
        <rFont val="Times New Roman"/>
        <family val="1"/>
      </rPr>
      <t>)  Determine the amount the insurer would pay to the insured for this loss under the following scenarios. State any assumptions required.</t>
    </r>
  </si>
  <si>
    <r>
      <t>·</t>
    </r>
    <r>
      <rPr>
        <sz val="7"/>
        <color rgb="FF002060"/>
        <rFont val="Times New Roman"/>
        <family val="1"/>
      </rPr>
      <t xml:space="preserve">       </t>
    </r>
    <r>
      <rPr>
        <sz val="12"/>
        <color rgb="FF002060"/>
        <rFont val="Times New Roman"/>
        <family val="1"/>
      </rPr>
      <t>A loss occurred and the loss amount is 40,000.</t>
    </r>
  </si>
  <si>
    <t>Coinsurance</t>
  </si>
  <si>
    <r>
      <t>·</t>
    </r>
    <r>
      <rPr>
        <sz val="7"/>
        <color rgb="FF002060"/>
        <rFont val="Times New Roman"/>
        <family val="1"/>
      </rPr>
      <t xml:space="preserve">       </t>
    </r>
    <r>
      <rPr>
        <sz val="12"/>
        <color rgb="FF002060"/>
        <rFont val="Times New Roman"/>
        <family val="1"/>
      </rPr>
      <t>The insurance policy includes a coinsurance percentage of 60%.</t>
    </r>
  </si>
  <si>
    <t>Insured value</t>
  </si>
  <si>
    <r>
      <t>·</t>
    </r>
    <r>
      <rPr>
        <sz val="7"/>
        <color rgb="FF002060"/>
        <rFont val="Times New Roman"/>
        <family val="1"/>
      </rPr>
      <t xml:space="preserve">       </t>
    </r>
    <r>
      <rPr>
        <sz val="12"/>
        <color rgb="FF002060"/>
        <rFont val="Times New Roman"/>
        <family val="1"/>
      </rPr>
      <t>The amount insured is 100,000.</t>
    </r>
  </si>
  <si>
    <r>
      <t>·</t>
    </r>
    <r>
      <rPr>
        <sz val="7"/>
        <color rgb="FF002060"/>
        <rFont val="Times New Roman"/>
        <family val="1"/>
      </rPr>
      <t xml:space="preserve">       </t>
    </r>
    <r>
      <rPr>
        <sz val="12"/>
        <color rgb="FF002060"/>
        <rFont val="Times New Roman"/>
        <family val="1"/>
      </rPr>
      <t>An insured property is valued at 200,000.</t>
    </r>
  </si>
  <si>
    <t xml:space="preserve">You are given the following: </t>
  </si>
  <si>
    <t xml:space="preserve">This is because lines like automobile physical damage have a claims distribution with many smaller claims. As such, a change in the  deductible will tend to have a disproportionate effect on premium as it will have a much larger effect on smaller claims. </t>
  </si>
  <si>
    <r>
      <t>(c)             (</t>
    </r>
    <r>
      <rPr>
        <i/>
        <sz val="12"/>
        <color rgb="FF002060"/>
        <rFont val="Times New Roman"/>
        <family val="1"/>
      </rPr>
      <t>0.5 points</t>
    </r>
    <r>
      <rPr>
        <sz val="12"/>
        <color rgb="FF002060"/>
        <rFont val="Times New Roman"/>
        <family val="1"/>
      </rPr>
      <t>) Explain why this should be expected.</t>
    </r>
  </si>
  <si>
    <t>The reduction in premium is not proportional to the size of the deductible for many lines of general insurance, particularly automobile physical damage coverages and personal property insurance.</t>
  </si>
  <si>
    <t xml:space="preserve">(claims eliminated by the deductible − claims eliminated by the base deductible)
divided by
(total ground up claims − claims eliminated by the base deductible) </t>
  </si>
  <si>
    <t>(ii)            Formula for elimination ratio</t>
  </si>
  <si>
    <t xml:space="preserve">The proportion of claims eliminated by the deductible relative to the claims underlying the estimate of the base rate, which is associated with an insurer’s base deductible. </t>
  </si>
  <si>
    <t>(i)              Definition of elimination ratio</t>
  </si>
  <si>
    <r>
      <t>(b)</t>
    </r>
    <r>
      <rPr>
        <sz val="7"/>
        <color rgb="FF002060"/>
        <rFont val="Times New Roman"/>
        <family val="1"/>
      </rPr>
      <t xml:space="preserve">             </t>
    </r>
    <r>
      <rPr>
        <sz val="12"/>
        <color rgb="FF002060"/>
        <rFont val="Times New Roman"/>
        <family val="1"/>
      </rPr>
      <t>(</t>
    </r>
    <r>
      <rPr>
        <i/>
        <sz val="12"/>
        <color rgb="FF002060"/>
        <rFont val="Times New Roman"/>
        <family val="1"/>
      </rPr>
      <t>1.5 points</t>
    </r>
    <r>
      <rPr>
        <sz val="12"/>
        <color rgb="FF002060"/>
        <rFont val="Times New Roman"/>
        <family val="1"/>
      </rPr>
      <t xml:space="preserve">) Provide the following with respect to an insurer’s application of this approach. </t>
    </r>
  </si>
  <si>
    <t>The elimination ratio approach is one of the ways to determine deductible factors.</t>
  </si>
  <si>
    <r>
      <rPr>
        <sz val="12"/>
        <rFont val="Symbol"/>
        <family val="1"/>
        <charset val="2"/>
      </rPr>
      <t>·</t>
    </r>
    <r>
      <rPr>
        <sz val="12"/>
        <rFont val="Times New Roman"/>
        <family val="1"/>
      </rPr>
      <t xml:space="preserve"> In most traditional GI policies with relatively small deductibles, defense costs are outside of the deductible and outside of the policy limits, and insurers are responsible to pay for all defense costs. In contrast, with an SIR program the insured would typically take the lead on the defense of all claims until the SIR is breached.
</t>
    </r>
    <r>
      <rPr>
        <sz val="12"/>
        <rFont val="Symbol"/>
        <family val="1"/>
        <charset val="2"/>
      </rPr>
      <t>·</t>
    </r>
    <r>
      <rPr>
        <sz val="12"/>
        <rFont val="Times New Roman"/>
        <family val="1"/>
      </rPr>
      <t xml:space="preserve">  In most traditional GI policies with a deductible, the policy limit is eroded by the deductible. However, under an SIR, there is no erosion of the limit.
</t>
    </r>
    <r>
      <rPr>
        <sz val="12"/>
        <rFont val="Symbol"/>
        <family val="1"/>
        <charset val="2"/>
      </rPr>
      <t>·</t>
    </r>
    <r>
      <rPr>
        <sz val="12"/>
        <rFont val="Times New Roman"/>
        <family val="1"/>
      </rPr>
      <t xml:space="preserve">  In most traditional GI policies with a large deductible, the insurer is typically required to hold collateral to ensure that the insurer can pay the entire claim regardless of whether or not the insured will reimburse the insurer for the deductible. Collateral is not generally required for an SIR program.
</t>
    </r>
  </si>
  <si>
    <r>
      <t>(a)             (</t>
    </r>
    <r>
      <rPr>
        <i/>
        <sz val="12"/>
        <color rgb="FF002060"/>
        <rFont val="Times New Roman"/>
        <family val="1"/>
      </rPr>
      <t>1.5 points</t>
    </r>
    <r>
      <rPr>
        <sz val="12"/>
        <color rgb="FF002060"/>
        <rFont val="Times New Roman"/>
        <family val="1"/>
      </rPr>
      <t xml:space="preserve">) Describe three ways that a self-insured retention (SIR) differs from the use of a deductible. </t>
    </r>
  </si>
  <si>
    <r>
      <t>CPDLD</t>
    </r>
    <r>
      <rPr>
        <vertAlign val="subscript"/>
        <sz val="12"/>
        <color theme="1"/>
        <rFont val="Times New Roman"/>
        <family val="1"/>
      </rPr>
      <t>2</t>
    </r>
    <r>
      <rPr>
        <sz val="12"/>
        <color theme="1"/>
        <rFont val="Times New Roman"/>
        <family val="1"/>
      </rPr>
      <t xml:space="preserve"> = </t>
    </r>
  </si>
  <si>
    <t>Subsequent</t>
  </si>
  <si>
    <t>Expected percentage of loss emerged</t>
  </si>
  <si>
    <r>
      <t>Premium Asset = Estimated total premium – Premium booked = [Expected future loss emergence × CPDLD</t>
    </r>
    <r>
      <rPr>
        <vertAlign val="subscript"/>
        <sz val="12"/>
        <color theme="1"/>
        <rFont val="Times New Roman"/>
        <family val="1"/>
      </rPr>
      <t>2</t>
    </r>
    <r>
      <rPr>
        <sz val="12"/>
        <color theme="1"/>
        <rFont val="Times New Roman"/>
        <family val="1"/>
      </rPr>
      <t xml:space="preserve"> + Premium booked from prior adjustment] – Premium booked</t>
    </r>
  </si>
  <si>
    <r>
      <t>(</t>
    </r>
    <r>
      <rPr>
        <i/>
        <sz val="12"/>
        <color rgb="FF002060"/>
        <rFont val="Times New Roman"/>
        <family val="1"/>
      </rPr>
      <t>1.5 points</t>
    </r>
    <r>
      <rPr>
        <sz val="12"/>
        <color rgb="FF002060"/>
        <rFont val="Times New Roman"/>
        <family val="1"/>
      </rPr>
      <t>)  Calculate the premium asset as of December 31, 2023 for the policy period subject to the second retrospective adjustment using the PDLD ratios from part (b).</t>
    </r>
  </si>
  <si>
    <t>Premium booked as of December 31, 2023</t>
  </si>
  <si>
    <t>Premium booked from prior adjustment</t>
  </si>
  <si>
    <t>Expected future loss emergence</t>
  </si>
  <si>
    <t>Amounts in Millions</t>
  </si>
  <si>
    <t>You are given the following information for the policy period subject to its second retrospective adjustment as of December 31, 2023.</t>
  </si>
  <si>
    <t>Implied PDLD Ratio</t>
  </si>
  <si>
    <r>
      <t>(</t>
    </r>
    <r>
      <rPr>
        <i/>
        <sz val="12"/>
        <color rgb="FF002060"/>
        <rFont val="Times New Roman"/>
        <family val="1"/>
      </rPr>
      <t>1.5 points</t>
    </r>
    <r>
      <rPr>
        <sz val="12"/>
        <color rgb="FF002060"/>
        <rFont val="Times New Roman"/>
        <family val="1"/>
      </rPr>
      <t>)  Calculate the implied PDLD ratios at each retro adjustment period based upon the retrospective rating parameters and the selected incremental loss capping ratios.</t>
    </r>
  </si>
  <si>
    <t>Tax Multiplier</t>
  </si>
  <si>
    <t>Loss Conversion Factor</t>
  </si>
  <si>
    <t>Basic Premium Factor</t>
  </si>
  <si>
    <t>Additionally, you are given the following parameters for the retrospective rating formula:</t>
  </si>
  <si>
    <t>Selected Incremental Loss Capping Ratio</t>
  </si>
  <si>
    <t xml:space="preserve">After consideration of the analysis from part (a) and historical loss elimnation ratios, the following incremental loss capping ratios were selected for use in the calculation of the retrospective premium asset. </t>
  </si>
  <si>
    <t>%  of Losses Eliminated by Retro Min/Max</t>
  </si>
  <si>
    <t>Emerged Loss Ratio</t>
  </si>
  <si>
    <r>
      <t>(</t>
    </r>
    <r>
      <rPr>
        <i/>
        <sz val="12"/>
        <color rgb="FF002060"/>
        <rFont val="Times New Roman"/>
        <family val="1"/>
      </rPr>
      <t>2 points</t>
    </r>
    <r>
      <rPr>
        <sz val="12"/>
        <color rgb="FF002060"/>
        <rFont val="Times New Roman"/>
        <family val="1"/>
      </rPr>
      <t>)  Calculate the incremental loss capping ratio by retro adjustment period using the Teng and Perkins methodology.</t>
    </r>
  </si>
  <si>
    <t>Ultimate Standard Loss Ratio</t>
  </si>
  <si>
    <t>% of Losses Eliminated by a Per Accident Limit</t>
  </si>
  <si>
    <t>Insurance Savings at Retro Minimum</t>
  </si>
  <si>
    <t>Insurance Charge at Retro Maximum</t>
  </si>
  <si>
    <t>Cumulative % of Total Losses Emerged</t>
  </si>
  <si>
    <t>Retrospective Adjustment Period</t>
  </si>
  <si>
    <r>
      <t>(</t>
    </r>
    <r>
      <rPr>
        <i/>
        <sz val="12"/>
        <color rgb="FF002060"/>
        <rFont val="Times New Roman"/>
        <family val="1"/>
      </rPr>
      <t>5 points</t>
    </r>
    <r>
      <rPr>
        <sz val="12"/>
        <color rgb="FF002060"/>
        <rFont val="Times New Roman"/>
        <family val="1"/>
      </rPr>
      <t>)  A retrospective rating plan with an ultimate standard loss ratio of 65% uses the following:</t>
    </r>
  </si>
  <si>
    <t>This calculation uses RY10, however any of RY6 to RY10 could have been used.</t>
  </si>
  <si>
    <r>
      <t>(</t>
    </r>
    <r>
      <rPr>
        <i/>
        <sz val="12"/>
        <color rgb="FF002060"/>
        <rFont val="Times New Roman"/>
        <family val="1"/>
      </rPr>
      <t>0.5 points</t>
    </r>
    <r>
      <rPr>
        <sz val="12"/>
        <color rgb="FF002060"/>
        <rFont val="Times New Roman"/>
        <family val="1"/>
      </rPr>
      <t>)  Tail factor applicable to coverage following a third year claims-made maturity policy</t>
    </r>
  </si>
  <si>
    <t>(v)</t>
  </si>
  <si>
    <r>
      <t>(</t>
    </r>
    <r>
      <rPr>
        <i/>
        <sz val="12"/>
        <color rgb="FF002060"/>
        <rFont val="Times New Roman"/>
        <family val="1"/>
      </rPr>
      <t>0.5 points</t>
    </r>
    <r>
      <rPr>
        <sz val="12"/>
        <color rgb="FF002060"/>
        <rFont val="Times New Roman"/>
        <family val="1"/>
      </rPr>
      <t>)  Tail factor applicable to coverage following a first-year claims-made maturity policy</t>
    </r>
  </si>
  <si>
    <t>4th</t>
  </si>
  <si>
    <t>3rd</t>
  </si>
  <si>
    <t>2nd</t>
  </si>
  <si>
    <t>1st</t>
  </si>
  <si>
    <t>Maturuty Year</t>
  </si>
  <si>
    <t>Step Factor</t>
  </si>
  <si>
    <t>Claims-Made</t>
  </si>
  <si>
    <r>
      <t>(</t>
    </r>
    <r>
      <rPr>
        <i/>
        <sz val="12"/>
        <color rgb="FF002060"/>
        <rFont val="Times New Roman"/>
        <family val="1"/>
      </rPr>
      <t>1.5 points</t>
    </r>
    <r>
      <rPr>
        <sz val="12"/>
        <color rgb="FF002060"/>
        <rFont val="Times New Roman"/>
        <family val="1"/>
      </rPr>
      <t>)  Step factor at each year of claims-made maturity</t>
    </r>
  </si>
  <si>
    <r>
      <t>(</t>
    </r>
    <r>
      <rPr>
        <i/>
        <sz val="12"/>
        <color rgb="FF002060"/>
        <rFont val="Times New Roman"/>
        <family val="1"/>
      </rPr>
      <t>1 point</t>
    </r>
    <r>
      <rPr>
        <sz val="12"/>
        <color rgb="FF002060"/>
        <rFont val="Times New Roman"/>
        <family val="1"/>
      </rPr>
      <t>)  Accident year reporting pattern as a percent of total</t>
    </r>
  </si>
  <si>
    <t>AY trend rate</t>
  </si>
  <si>
    <t>Year-to Year Change</t>
  </si>
  <si>
    <t>AY Cost</t>
  </si>
  <si>
    <t>Average Annual</t>
  </si>
  <si>
    <r>
      <t>(</t>
    </r>
    <r>
      <rPr>
        <i/>
        <sz val="12"/>
        <color rgb="FF002060"/>
        <rFont val="Times New Roman"/>
        <family val="1"/>
      </rPr>
      <t>0.5 points</t>
    </r>
    <r>
      <rPr>
        <sz val="12"/>
        <color rgb="FF002060"/>
        <rFont val="Times New Roman"/>
        <family val="1"/>
      </rPr>
      <t>)  Average annual accident year trend rate</t>
    </r>
  </si>
  <si>
    <t>Determine the following:</t>
  </si>
  <si>
    <t>RY</t>
  </si>
  <si>
    <t>AY 
Lag</t>
  </si>
  <si>
    <r>
      <t>(</t>
    </r>
    <r>
      <rPr>
        <i/>
        <sz val="12"/>
        <color rgb="FF002060"/>
        <rFont val="Times New Roman"/>
        <family val="1"/>
      </rPr>
      <t>4 points</t>
    </r>
    <r>
      <rPr>
        <sz val="12"/>
        <color rgb="FF002060"/>
        <rFont val="Times New Roman"/>
        <family val="1"/>
      </rPr>
      <t xml:space="preserve">)  You are provided the following accident year (AY) lag by report year (RY) pure premium matrix for 
claims-made insurance coverage.
</t>
    </r>
  </si>
  <si>
    <t>Developed Losses + ALAE</t>
  </si>
  <si>
    <t>Dev Factor</t>
  </si>
  <si>
    <t>Losses + ALAE</t>
  </si>
  <si>
    <t>Covered ALAE</t>
  </si>
  <si>
    <t>Trended ALAE</t>
  </si>
  <si>
    <t>Loss in Layer</t>
  </si>
  <si>
    <t>Loss above Retention</t>
  </si>
  <si>
    <t>Trended Loss</t>
  </si>
  <si>
    <t>Untrended ALAE</t>
  </si>
  <si>
    <t>Untrended Loss</t>
  </si>
  <si>
    <t>Accident Date</t>
  </si>
  <si>
    <t>L&amp;LAE Trend</t>
  </si>
  <si>
    <t>Excess of</t>
  </si>
  <si>
    <t>Layer</t>
  </si>
  <si>
    <t>LDF</t>
  </si>
  <si>
    <t>Treaty Accident Year</t>
  </si>
  <si>
    <t>Estimate the experience rating loss cost, including ALAE, as a percentage of the subject premium.</t>
  </si>
  <si>
    <t>36-Ultimate</t>
  </si>
  <si>
    <t>24-Ultimate</t>
  </si>
  <si>
    <t>12-Ultimate</t>
  </si>
  <si>
    <t>Layer limit</t>
  </si>
  <si>
    <t>• The following accident year development factors are applicable to both loss and ALAE in the layer 750,000 excess of 250,000:</t>
  </si>
  <si>
    <t>per year</t>
  </si>
  <si>
    <t>Loss and ALAE trend</t>
  </si>
  <si>
    <t>• Loss and ALAE trend are each 5% per year.</t>
  </si>
  <si>
    <t>• ALAE is allocated to layer in proportion to losses.</t>
  </si>
  <si>
    <t>On level premium</t>
  </si>
  <si>
    <t>• On level subject premium is 10,000,000 for each year from 2017-2019.</t>
  </si>
  <si>
    <t>Policy limits</t>
  </si>
  <si>
    <t>• All policy limits throughout the experience period are 1,000,000 and are expected to remain at this level through 2021.</t>
  </si>
  <si>
    <t>Losses &gt;</t>
  </si>
  <si>
    <t>• All losses of at least 200,000 are shown.</t>
  </si>
  <si>
    <t>Loss Experience Evaluated as of Dec. 31, 2019</t>
  </si>
  <si>
    <t xml:space="preserve">You are given the following information: </t>
  </si>
  <si>
    <r>
      <t>(</t>
    </r>
    <r>
      <rPr>
        <i/>
        <sz val="12"/>
        <color theme="8" tint="-0.499984740745262"/>
        <rFont val="Times New Roman"/>
        <family val="1"/>
      </rPr>
      <t>5 points</t>
    </r>
    <r>
      <rPr>
        <sz val="12"/>
        <color theme="8" tint="-0.499984740745262"/>
        <rFont val="Times New Roman"/>
        <family val="1"/>
      </rPr>
      <t>)  Casualty Reinsurance Company is writing a casualty per occurrence excess treaty for accident year 2021 covering the layer 750,000 excess of 250,000.</t>
    </r>
  </si>
  <si>
    <t>Responses for parts (c) and (d) are to be provided in the Word document</t>
  </si>
  <si>
    <t>Result</t>
  </si>
  <si>
    <t>AddPrem</t>
  </si>
  <si>
    <t>Pcomm</t>
  </si>
  <si>
    <t>Profit</t>
  </si>
  <si>
    <t>Losses</t>
  </si>
  <si>
    <t>Margin</t>
  </si>
  <si>
    <t>Premium</t>
  </si>
  <si>
    <t>(ii)    A loss of 1.125 million if aggregate losses are 5 million.</t>
  </si>
  <si>
    <t>(i)     A profit of 0.3 million if aggregate losses are 2 million.</t>
  </si>
  <si>
    <r>
      <t>(b)               (</t>
    </r>
    <r>
      <rPr>
        <i/>
        <sz val="12"/>
        <color theme="8" tint="-0.499984740745262"/>
        <rFont val="Times New Roman"/>
        <family val="1"/>
      </rPr>
      <t>2 points</t>
    </r>
    <r>
      <rPr>
        <sz val="12"/>
        <color theme="8" tint="-0.499984740745262"/>
        <rFont val="Times New Roman"/>
        <family val="1"/>
      </rPr>
      <t>) Verify the following underwriting results for Specialist:</t>
    </r>
  </si>
  <si>
    <t>10 +</t>
  </si>
  <si>
    <t>Underwriting Result 
(millions)</t>
  </si>
  <si>
    <t>Aggregate Losses (millions)</t>
  </si>
  <si>
    <t>The underwriting results for different aggregate losses are:</t>
  </si>
  <si>
    <t>50% of (Loss + Margin – Annual Premium)</t>
  </si>
  <si>
    <t xml:space="preserve">• Additional Premium: </t>
  </si>
  <si>
    <t xml:space="preserve">80% after 10% margin on Annual Premium </t>
  </si>
  <si>
    <t xml:space="preserve">• Profit Commission: </t>
  </si>
  <si>
    <t xml:space="preserve">• Limit:  </t>
  </si>
  <si>
    <t xml:space="preserve">• Annual Premium:  </t>
  </si>
  <si>
    <t>The finite risk cover has the following terms:</t>
  </si>
  <si>
    <t>check total</t>
  </si>
  <si>
    <t>Probability</t>
  </si>
  <si>
    <t>Aggregate Losses (million)</t>
  </si>
  <si>
    <r>
      <t>(a)               (</t>
    </r>
    <r>
      <rPr>
        <i/>
        <sz val="12"/>
        <color theme="8" tint="-0.499984740745262"/>
        <rFont val="Times New Roman"/>
        <family val="1"/>
      </rPr>
      <t>2 points</t>
    </r>
    <r>
      <rPr>
        <sz val="12"/>
        <color theme="8" tint="-0.499984740745262"/>
        <rFont val="Times New Roman"/>
        <family val="1"/>
      </rPr>
      <t>)  Complete the following aggregate loss probability table:</t>
    </r>
  </si>
  <si>
    <t>Loss sizes are independent of one another and independent of the number of losses.</t>
  </si>
  <si>
    <t>Loss Size (millions)</t>
  </si>
  <si>
    <t xml:space="preserve">The loss size distribution is: </t>
  </si>
  <si>
    <t xml:space="preserve">The annual number of losses has a Poisson distribution with mean </t>
  </si>
  <si>
    <r>
      <t>(</t>
    </r>
    <r>
      <rPr>
        <i/>
        <sz val="12"/>
        <color theme="8" tint="-0.499984740745262"/>
        <rFont val="Times New Roman"/>
        <family val="1"/>
      </rPr>
      <t>5 points</t>
    </r>
    <r>
      <rPr>
        <sz val="12"/>
        <color theme="8" tint="-0.499984740745262"/>
        <rFont val="Times New Roman"/>
        <family val="1"/>
      </rPr>
      <t xml:space="preserve">)  Specialist Reinsurance Company is offering finite reinsurance to Ceding Insurance Company to cover its aggregate annual losses. </t>
    </r>
  </si>
  <si>
    <t>Expected Loss</t>
  </si>
  <si>
    <t>Treaty Attach. Pt. + Limit</t>
  </si>
  <si>
    <t>Treaty Attach. Pt.</t>
  </si>
  <si>
    <t>Factor x Premium</t>
  </si>
  <si>
    <t>Exposure Factor</t>
  </si>
  <si>
    <t>Policy Limit</t>
  </si>
  <si>
    <t>Underlying Limit</t>
  </si>
  <si>
    <t>Subject Premium</t>
  </si>
  <si>
    <r>
      <t>(</t>
    </r>
    <r>
      <rPr>
        <i/>
        <sz val="12"/>
        <color theme="8" tint="-0.499984740745262"/>
        <rFont val="Times New Roman"/>
        <family val="1"/>
      </rPr>
      <t>2.5 points</t>
    </r>
    <r>
      <rPr>
        <sz val="12"/>
        <color theme="8" tint="-0.499984740745262"/>
        <rFont val="Times New Roman"/>
        <family val="1"/>
      </rPr>
      <t>)  Calculate the expected losses in the layer using an exposure rating approach.</t>
    </r>
  </si>
  <si>
    <t>The expected loss ratio is 55%.</t>
  </si>
  <si>
    <t>The following information has been provided:</t>
  </si>
  <si>
    <t>You are pricing the layer 1,000 excess of 500.</t>
  </si>
  <si>
    <t>ILF[500,1500]</t>
  </si>
  <si>
    <t>E[x;Limit]</t>
  </si>
  <si>
    <r>
      <t>(</t>
    </r>
    <r>
      <rPr>
        <i/>
        <sz val="12"/>
        <color theme="8" tint="-0.499984740745262"/>
        <rFont val="Times New Roman"/>
        <family val="1"/>
      </rPr>
      <t>1.5 points</t>
    </r>
    <r>
      <rPr>
        <sz val="12"/>
        <color theme="8" tint="-0.499984740745262"/>
        <rFont val="Times New Roman"/>
        <family val="1"/>
      </rPr>
      <t>)  Demonstrate that the ILF at policy limit 1,500 is 1.44.</t>
    </r>
  </si>
  <si>
    <t>Increased Limits Factor</t>
  </si>
  <si>
    <t>The following increased limits factors were generated:</t>
  </si>
  <si>
    <r>
      <t>It can be produced by the Excel function NORM.S.DIST(</t>
    </r>
    <r>
      <rPr>
        <i/>
        <sz val="12"/>
        <color theme="8" tint="-0.499984740745262"/>
        <rFont val="Times New Roman"/>
        <family val="1"/>
      </rPr>
      <t>x</t>
    </r>
    <r>
      <rPr>
        <sz val="12"/>
        <color theme="8" tint="-0.499984740745262"/>
        <rFont val="Times New Roman"/>
        <family val="1"/>
      </rPr>
      <t>,TRUE).</t>
    </r>
  </si>
  <si>
    <r>
      <t>Φ(</t>
    </r>
    <r>
      <rPr>
        <i/>
        <sz val="12"/>
        <color theme="8" tint="-0.499984740745262"/>
        <rFont val="Times New Roman"/>
        <family val="1"/>
      </rPr>
      <t>x</t>
    </r>
    <r>
      <rPr>
        <sz val="12"/>
        <color theme="8" tint="-0.499984740745262"/>
        <rFont val="Times New Roman"/>
        <family val="1"/>
      </rPr>
      <t>) is the cumulative distribution function for a standard normal variable, N(0,1).</t>
    </r>
  </si>
  <si>
    <t>The limited expected loss function for a lognormal distribution is given by:</t>
  </si>
  <si>
    <t>sigma</t>
  </si>
  <si>
    <r>
      <t>(</t>
    </r>
    <r>
      <rPr>
        <i/>
        <sz val="12"/>
        <color theme="8" tint="-0.499984740745262"/>
        <rFont val="Times New Roman"/>
        <family val="1"/>
      </rPr>
      <t>1 point</t>
    </r>
    <r>
      <rPr>
        <sz val="12"/>
        <color theme="8" tint="-0.499984740745262"/>
        <rFont val="Times New Roman"/>
        <family val="1"/>
      </rPr>
      <t>)  Demonstrate that this is true.</t>
    </r>
  </si>
  <si>
    <r>
      <t>sigma (</t>
    </r>
    <r>
      <rPr>
        <sz val="12"/>
        <color theme="8" tint="-0.499984740745262"/>
        <rFont val="Calibri"/>
        <family val="2"/>
      </rPr>
      <t>σ</t>
    </r>
    <r>
      <rPr>
        <sz val="12"/>
        <color theme="8" tint="-0.499984740745262"/>
        <rFont val="Times New Roman"/>
        <family val="1"/>
      </rPr>
      <t>)</t>
    </r>
  </si>
  <si>
    <r>
      <t>mu (</t>
    </r>
    <r>
      <rPr>
        <sz val="12"/>
        <color theme="8" tint="-0.499984740745262"/>
        <rFont val="Calibri"/>
        <family val="2"/>
      </rPr>
      <t>μ)</t>
    </r>
  </si>
  <si>
    <t>The estimated parameters of the lognormal distribution based on the method of moments are:</t>
  </si>
  <si>
    <t>Standard Deviation</t>
  </si>
  <si>
    <t>Mean</t>
  </si>
  <si>
    <t>The underlying losses have the following characteristics:</t>
  </si>
  <si>
    <t>You are developing increased limits factors (ILFs) using a lognormal model.</t>
  </si>
  <si>
    <r>
      <t>(</t>
    </r>
    <r>
      <rPr>
        <i/>
        <sz val="12"/>
        <color theme="8" tint="-0.499984740745262"/>
        <rFont val="Times New Roman"/>
        <family val="1"/>
      </rPr>
      <t>5 points</t>
    </r>
    <r>
      <rPr>
        <sz val="12"/>
        <color theme="8" tint="-0.499984740745262"/>
        <rFont val="Times New Roman"/>
        <family val="1"/>
      </rPr>
      <t xml:space="preserve">)  Casualty R Us Reinsurance Company is evaluating a proposed casualty per occurrence excess treaty.  </t>
    </r>
  </si>
  <si>
    <t>44.5% or above</t>
  </si>
  <si>
    <t>Sliding 1:1</t>
  </si>
  <si>
    <t>34.5%-44.5%</t>
  </si>
  <si>
    <t>Sliding 0.5:1</t>
  </si>
  <si>
    <t>14.5%-34.5%</t>
  </si>
  <si>
    <t>14.5% or below</t>
  </si>
  <si>
    <t>Expense</t>
  </si>
  <si>
    <t>Commission</t>
  </si>
  <si>
    <t>Loss Ratio</t>
  </si>
  <si>
    <t>ADJUSTED SLIDE</t>
  </si>
  <si>
    <t>Treaty Loss</t>
  </si>
  <si>
    <t xml:space="preserve">carryforward loss ratio to adjust slide </t>
  </si>
  <si>
    <t xml:space="preserve">The carryforward loss ratio is that in excess of 60%  the top loss ratio in the commission scale slide. </t>
  </si>
  <si>
    <r>
      <t>(</t>
    </r>
    <r>
      <rPr>
        <i/>
        <sz val="12"/>
        <color theme="8" tint="-0.499984740745262"/>
        <rFont val="Times New Roman"/>
        <family val="1"/>
      </rPr>
      <t>1 point</t>
    </r>
    <r>
      <rPr>
        <sz val="12"/>
        <color theme="8" tint="-0.499984740745262"/>
        <rFont val="Times New Roman"/>
        <family val="1"/>
      </rPr>
      <t>)  Recalculate the expected 2021 treaty profit from (b) as a percentage of ceded premium, allowing for the loss ratio in 2020.</t>
    </r>
  </si>
  <si>
    <t xml:space="preserve">The loss ratio on the 2020 treaty was </t>
  </si>
  <si>
    <t xml:space="preserve">The treaty has a carryforward provision.  </t>
  </si>
  <si>
    <t>It is not balanced because the expected loss ratio is close to one end of the commission slide.</t>
  </si>
  <si>
    <r>
      <t>(</t>
    </r>
    <r>
      <rPr>
        <i/>
        <sz val="12"/>
        <color theme="8" tint="-0.499984740745262"/>
        <rFont val="Times New Roman"/>
        <family val="1"/>
      </rPr>
      <t>0.5 points</t>
    </r>
    <r>
      <rPr>
        <sz val="12"/>
        <color theme="8" tint="-0.499984740745262"/>
        <rFont val="Times New Roman"/>
        <family val="1"/>
      </rPr>
      <t>)  State whether or not the sliding scale commission structure is “balanced.”  Justify your answer.</t>
    </r>
  </si>
  <si>
    <r>
      <t>(</t>
    </r>
    <r>
      <rPr>
        <i/>
        <sz val="12"/>
        <color theme="8" tint="-0.499984740745262"/>
        <rFont val="Times New Roman"/>
        <family val="1"/>
      </rPr>
      <t>1.5 points</t>
    </r>
    <r>
      <rPr>
        <sz val="12"/>
        <color theme="8" tint="-0.499984740745262"/>
        <rFont val="Times New Roman"/>
        <family val="1"/>
      </rPr>
      <t>)  Show that using the loss distribution above, the expected 2021 treaty profit is 3.6% of ceded premium.</t>
    </r>
  </si>
  <si>
    <r>
      <t>(</t>
    </r>
    <r>
      <rPr>
        <i/>
        <sz val="12"/>
        <color theme="8" tint="-0.499984740745262"/>
        <rFont val="Times New Roman"/>
        <family val="1"/>
      </rPr>
      <t>0.5 points</t>
    </r>
    <r>
      <rPr>
        <sz val="12"/>
        <color theme="8" tint="-0.499984740745262"/>
        <rFont val="Times New Roman"/>
        <family val="1"/>
      </rPr>
      <t>)  Show that with the expected loss ratio of 54.0%, the 2021 treaty profit is 7.0% of ceded premium.</t>
    </r>
  </si>
  <si>
    <t xml:space="preserve"> of ceded premium.</t>
  </si>
  <si>
    <t>ABC expenses are</t>
  </si>
  <si>
    <t>60% or above</t>
  </si>
  <si>
    <t>50%-60%</t>
  </si>
  <si>
    <t>30%-50%</t>
  </si>
  <si>
    <t>30% or below</t>
  </si>
  <si>
    <t xml:space="preserve">The treaty has a sliding scale commission: </t>
  </si>
  <si>
    <t xml:space="preserve">The 2021 treaty premium is </t>
  </si>
  <si>
    <t>Loss</t>
  </si>
  <si>
    <t xml:space="preserve">The treaty losses have the following loss distribution: </t>
  </si>
  <si>
    <r>
      <t>(</t>
    </r>
    <r>
      <rPr>
        <i/>
        <sz val="12"/>
        <color theme="8" tint="-0.499984740745262"/>
        <rFont val="Times New Roman"/>
        <family val="1"/>
      </rPr>
      <t>4 points</t>
    </r>
    <r>
      <rPr>
        <sz val="12"/>
        <color theme="8" tint="-0.499984740745262"/>
        <rFont val="Times New Roman"/>
        <family val="1"/>
      </rPr>
      <t xml:space="preserve">)  ABC Reinsurance Company is pricing the 2021 renewal of its proportional reinsurance treaty with Ceding Insurance Company. </t>
    </r>
  </si>
  <si>
    <t>Only a single severity distribution can be used.</t>
  </si>
  <si>
    <t>The calculation is inconvenient when E(n) is large.</t>
  </si>
  <si>
    <t>Only one disadvantage was required for full credit.</t>
  </si>
  <si>
    <r>
      <t>(</t>
    </r>
    <r>
      <rPr>
        <i/>
        <sz val="12"/>
        <color theme="8" tint="-0.499984740745262"/>
        <rFont val="Times New Roman"/>
        <family val="1"/>
      </rPr>
      <t>0.5 points</t>
    </r>
    <r>
      <rPr>
        <sz val="12"/>
        <color theme="8" tint="-0.499984740745262"/>
        <rFont val="Times New Roman"/>
        <family val="1"/>
      </rPr>
      <t>)  Identify one disadvantage of using a recursive formula to calculate aggregate distribution probabilities.</t>
    </r>
  </si>
  <si>
    <t>CoV Agg</t>
  </si>
  <si>
    <t>Var Agg</t>
  </si>
  <si>
    <t>Mean Agg</t>
  </si>
  <si>
    <t>Var(L)</t>
  </si>
  <si>
    <t>E(L)</t>
  </si>
  <si>
    <t>L^2p(L)</t>
  </si>
  <si>
    <t>Lp(L)</t>
  </si>
  <si>
    <t>p(L)</t>
  </si>
  <si>
    <r>
      <t>(</t>
    </r>
    <r>
      <rPr>
        <i/>
        <sz val="12"/>
        <color theme="8" tint="-0.499984740745262"/>
        <rFont val="Times New Roman"/>
        <family val="1"/>
      </rPr>
      <t>1.5 points</t>
    </r>
    <r>
      <rPr>
        <sz val="12"/>
        <color theme="8" tint="-0.499984740745262"/>
        <rFont val="Times New Roman"/>
        <family val="1"/>
      </rPr>
      <t>)  Calculate the mean and coefficient of variation of aggregate catastrophe losses.</t>
    </r>
  </si>
  <si>
    <t>First Principles</t>
  </si>
  <si>
    <t>1, 1, 1, 1, 1</t>
  </si>
  <si>
    <t>1, 1, 1, 2</t>
  </si>
  <si>
    <t>1, 2, 2</t>
  </si>
  <si>
    <t>1, 1, 3</t>
  </si>
  <si>
    <t>2, 3</t>
  </si>
  <si>
    <t>5 losses of</t>
  </si>
  <si>
    <t>4 losses of</t>
  </si>
  <si>
    <t xml:space="preserve">3 losses of </t>
  </si>
  <si>
    <t>2 losses of</t>
  </si>
  <si>
    <t>OR</t>
  </si>
  <si>
    <t>Recursion</t>
  </si>
  <si>
    <t>Can use recursion or first principles</t>
  </si>
  <si>
    <r>
      <t>(</t>
    </r>
    <r>
      <rPr>
        <i/>
        <sz val="12"/>
        <color theme="8" tint="-0.499984740745262"/>
        <rFont val="Times New Roman"/>
        <family val="1"/>
      </rPr>
      <t>2 points</t>
    </r>
    <r>
      <rPr>
        <sz val="12"/>
        <color theme="8" tint="-0.499984740745262"/>
        <rFont val="Times New Roman"/>
        <family val="1"/>
      </rPr>
      <t>)  Calculate the probability that aggregate losses will be 5 billion.</t>
    </r>
  </si>
  <si>
    <t>Aggregate Losses (billions)</t>
  </si>
  <si>
    <t xml:space="preserve">Aggregate catastrophe losses have the following probability distribution for amounts below 5 billion: </t>
  </si>
  <si>
    <t>Loss Size 
(billions)</t>
  </si>
  <si>
    <t>The loss size distribution is:</t>
  </si>
  <si>
    <r>
      <t>• Pr(</t>
    </r>
    <r>
      <rPr>
        <i/>
        <sz val="12"/>
        <color theme="8" tint="-0.499984740745262"/>
        <rFont val="Times New Roman"/>
        <family val="1"/>
      </rPr>
      <t>n</t>
    </r>
    <r>
      <rPr>
        <sz val="12"/>
        <color theme="8" tint="-0.499984740745262"/>
        <rFont val="Times New Roman"/>
        <family val="1"/>
      </rPr>
      <t>) = (0.5)^(</t>
    </r>
    <r>
      <rPr>
        <i/>
        <sz val="12"/>
        <color theme="8" tint="-0.499984740745262"/>
        <rFont val="Times New Roman"/>
        <family val="1"/>
      </rPr>
      <t>n</t>
    </r>
    <r>
      <rPr>
        <sz val="12"/>
        <color theme="8" tint="-0.499984740745262"/>
        <rFont val="Times New Roman"/>
        <family val="1"/>
      </rPr>
      <t xml:space="preserve">+1), </t>
    </r>
    <r>
      <rPr>
        <i/>
        <sz val="12"/>
        <color theme="8" tint="-0.499984740745262"/>
        <rFont val="Times New Roman"/>
        <family val="1"/>
      </rPr>
      <t>n</t>
    </r>
    <r>
      <rPr>
        <sz val="12"/>
        <color theme="8" tint="-0.499984740745262"/>
        <rFont val="Times New Roman"/>
        <family val="1"/>
      </rPr>
      <t xml:space="preserve"> = 1, 2, …</t>
    </r>
  </si>
  <si>
    <t>• Variance</t>
  </si>
  <si>
    <t>• Mean</t>
  </si>
  <si>
    <t>This results in a distribution with:</t>
  </si>
  <si>
    <t>p</t>
  </si>
  <si>
    <t>α</t>
  </si>
  <si>
    <r>
      <t xml:space="preserve">The number of catastrophe losses, </t>
    </r>
    <r>
      <rPr>
        <i/>
        <sz val="12"/>
        <color theme="8" tint="-0.499984740745262"/>
        <rFont val="Times New Roman"/>
        <family val="1"/>
      </rPr>
      <t>n</t>
    </r>
    <r>
      <rPr>
        <sz val="12"/>
        <color theme="8" tint="-0.499984740745262"/>
        <rFont val="Times New Roman"/>
        <family val="1"/>
      </rPr>
      <t>, follows a negative binomial distribution with parameters:</t>
    </r>
  </si>
  <si>
    <r>
      <t>(</t>
    </r>
    <r>
      <rPr>
        <i/>
        <sz val="12"/>
        <color theme="8" tint="-0.499984740745262"/>
        <rFont val="Times New Roman"/>
        <family val="1"/>
      </rPr>
      <t>4 points</t>
    </r>
    <r>
      <rPr>
        <sz val="12"/>
        <color theme="8" tint="-0.499984740745262"/>
        <rFont val="Times New Roman"/>
        <family val="1"/>
      </rPr>
      <t xml:space="preserve">)  You are modeling catastrophe losses.  </t>
    </r>
  </si>
  <si>
    <t>This would not be appropriate as the factors used are based on properties with insured values of 6 million.</t>
  </si>
  <si>
    <r>
      <t>(</t>
    </r>
    <r>
      <rPr>
        <i/>
        <sz val="12"/>
        <color theme="8" tint="-0.499984740745262"/>
        <rFont val="Times New Roman"/>
        <family val="1"/>
      </rPr>
      <t>0.5 points</t>
    </r>
    <r>
      <rPr>
        <sz val="12"/>
        <color theme="8" tint="-0.499984740745262"/>
        <rFont val="Times New Roman"/>
        <family val="1"/>
      </rPr>
      <t>)  Assess whether the loss cost percentage you calculated in part (c) would be appropriate for pricing coverage on properties with insured values of 12 million.</t>
    </r>
  </si>
  <si>
    <t>free cover</t>
  </si>
  <si>
    <t>experience</t>
  </si>
  <si>
    <t>Bottom</t>
  </si>
  <si>
    <t>Top</t>
  </si>
  <si>
    <t>Exp. Factor</t>
  </si>
  <si>
    <t>% Ins. Val.</t>
  </si>
  <si>
    <t>Select 2,000,000 excess of 1,000,000 for experience rating and 1,000,000 excess of 3,000,000 as free cover for exposure rating.</t>
  </si>
  <si>
    <r>
      <t>(</t>
    </r>
    <r>
      <rPr>
        <i/>
        <sz val="12"/>
        <color theme="8" tint="-0.499984740745262"/>
        <rFont val="Times New Roman"/>
        <family val="1"/>
      </rPr>
      <t>2 points</t>
    </r>
    <r>
      <rPr>
        <sz val="12"/>
        <color theme="8" tint="-0.499984740745262"/>
        <rFont val="Times New Roman"/>
        <family val="1"/>
      </rPr>
      <t>)  Calculate a revised loss cost as a percentage of the subject premium using these exposure factors to estimate the cost of free cover.</t>
    </r>
  </si>
  <si>
    <t>Percent of Insured 
Value</t>
  </si>
  <si>
    <t>The following exposure factors are considered appropriate for pricing this treaty:</t>
  </si>
  <si>
    <t>This refers to an experience rating in which no losses trend into the highest portion of the layer being priced.</t>
  </si>
  <si>
    <r>
      <t>(</t>
    </r>
    <r>
      <rPr>
        <i/>
        <sz val="12"/>
        <color theme="8" tint="-0.499984740745262"/>
        <rFont val="Times New Roman"/>
        <family val="1"/>
      </rPr>
      <t>0.5 points</t>
    </r>
    <r>
      <rPr>
        <sz val="12"/>
        <color theme="8" tint="-0.499984740745262"/>
        <rFont val="Times New Roman"/>
        <family val="1"/>
      </rPr>
      <t>)  Define free cover.</t>
    </r>
  </si>
  <si>
    <t>Layer Loss</t>
  </si>
  <si>
    <t>AY for Loss</t>
  </si>
  <si>
    <t>Loss ID</t>
  </si>
  <si>
    <t>Trended</t>
  </si>
  <si>
    <t xml:space="preserve">Untrended </t>
  </si>
  <si>
    <t>Developed</t>
  </si>
  <si>
    <r>
      <t>(</t>
    </r>
    <r>
      <rPr>
        <i/>
        <sz val="12"/>
        <color theme="8" tint="-0.499984740745262"/>
        <rFont val="Times New Roman"/>
        <family val="1"/>
      </rPr>
      <t>2 points</t>
    </r>
    <r>
      <rPr>
        <sz val="12"/>
        <color theme="8" tint="-0.499984740745262"/>
        <rFont val="Times New Roman"/>
        <family val="1"/>
      </rPr>
      <t>)  Estimate the experience rating loss cost as a percentage of the subject premium.</t>
    </r>
  </si>
  <si>
    <t>Accident year development factors applicable to losses in the layer 3,000,000 excess of 1,000,000:</t>
  </si>
  <si>
    <t xml:space="preserve">Insured value of each property </t>
  </si>
  <si>
    <t>Annual loss trend</t>
  </si>
  <si>
    <t>On level subject premium for each year from 2018-2020</t>
  </si>
  <si>
    <t>All losses of at least 500,000 are shown.</t>
  </si>
  <si>
    <t>Untrended Loss 
Evaluated as of 12/31/2020</t>
  </si>
  <si>
    <t>Loss 
ID</t>
  </si>
  <si>
    <r>
      <t>(</t>
    </r>
    <r>
      <rPr>
        <i/>
        <sz val="12"/>
        <color theme="8" tint="-0.499984740745262"/>
        <rFont val="Times New Roman"/>
        <family val="1"/>
      </rPr>
      <t>5 points</t>
    </r>
    <r>
      <rPr>
        <sz val="12"/>
        <color theme="8" tint="-0.499984740745262"/>
        <rFont val="Times New Roman"/>
        <family val="1"/>
      </rPr>
      <t xml:space="preserve">)  A reinsurer is pricing a property per risk excess treaty for accident year 2022 covering the layer 3,000,000 excess of 1,000,000. </t>
    </r>
  </si>
  <si>
    <t>higher loss ratio for 2020-2022 than without swing rating</t>
  </si>
  <si>
    <t>Against</t>
  </si>
  <si>
    <t>reduce volatility in annual treaty loss ratios</t>
  </si>
  <si>
    <t>For</t>
  </si>
  <si>
    <r>
      <t>(</t>
    </r>
    <r>
      <rPr>
        <i/>
        <sz val="12"/>
        <color theme="8" tint="-0.499984740745262"/>
        <rFont val="Times New Roman"/>
        <family val="1"/>
      </rPr>
      <t>0.5 points</t>
    </r>
    <r>
      <rPr>
        <sz val="12"/>
        <color theme="8" tint="-0.499984740745262"/>
        <rFont val="Times New Roman"/>
        <family val="1"/>
      </rPr>
      <t>)  Provide one argument for and one argument against introducing the swing plan.</t>
    </r>
  </si>
  <si>
    <t>Treaty Loss Ratio</t>
  </si>
  <si>
    <t>Final 
Premium</t>
  </si>
  <si>
    <t>Minimum 
Premium</t>
  </si>
  <si>
    <t>Maximum 
Premium</t>
  </si>
  <si>
    <t>Loaded Loss + ALAE</t>
  </si>
  <si>
    <t>Developed Loss + ALAE</t>
  </si>
  <si>
    <r>
      <t>(</t>
    </r>
    <r>
      <rPr>
        <i/>
        <sz val="12"/>
        <color theme="8" tint="-0.499984740745262"/>
        <rFont val="Times New Roman"/>
        <family val="1"/>
      </rPr>
      <t>1.5 points</t>
    </r>
    <r>
      <rPr>
        <sz val="12"/>
        <color theme="8" tint="-0.499984740745262"/>
        <rFont val="Times New Roman"/>
        <family val="1"/>
      </rPr>
      <t>)  Calculate the annual treaty loss ratios including ALAE with the proposed swing plan for each accident year, 2019-2021 (at the 2023 level).</t>
    </r>
  </si>
  <si>
    <t>Min. Prem.</t>
  </si>
  <si>
    <t>•      Minimum Premium = 10% x Subject Premium</t>
  </si>
  <si>
    <t>Max. Prem.</t>
  </si>
  <si>
    <t>•      Maximum Premium = 20% x Subject Premium</t>
  </si>
  <si>
    <t>Prov. Rate</t>
  </si>
  <si>
    <t>•      Provisional Rate = 15%</t>
  </si>
  <si>
    <t>Retro Prem.</t>
  </si>
  <si>
    <t>•      Retro Premium = (Actual Layer Losses) x 100/80</t>
  </si>
  <si>
    <t>The reinsurance company is considering introducing a swing plan as follows:</t>
  </si>
  <si>
    <t>Treaty Premium</t>
  </si>
  <si>
    <t>Loss + ALAE</t>
  </si>
  <si>
    <r>
      <t>(</t>
    </r>
    <r>
      <rPr>
        <i/>
        <sz val="12"/>
        <color theme="8" tint="-0.499984740745262"/>
        <rFont val="Times New Roman"/>
        <family val="1"/>
      </rPr>
      <t>3 points</t>
    </r>
    <r>
      <rPr>
        <sz val="12"/>
        <color theme="8" tint="-0.499984740745262"/>
        <rFont val="Times New Roman"/>
        <family val="1"/>
      </rPr>
      <t>)  Calculate the annual treaty loss ratios including ALAE for each accident year, 2019-2021 (at the 2023 level).</t>
    </r>
  </si>
  <si>
    <t>The following accident year development factors are applicable to both loss and ALAE in the layer 500,000 excess of 250,000:</t>
  </si>
  <si>
    <t xml:space="preserve">Treaty Prem. % </t>
  </si>
  <si>
    <t>•       The treaty premium is set at 15% of the subject premium base.</t>
  </si>
  <si>
    <t>•       Loss and ALAE trend are each 5% per year.</t>
  </si>
  <si>
    <t>•       ALAE is allocated to layer in proportion to losses.</t>
  </si>
  <si>
    <t>On level Subj. Prem.</t>
  </si>
  <si>
    <t>•       On level subject premium is 4,000,000 for each year from 2019-2021.</t>
  </si>
  <si>
    <t>•       All policy limits throughout the experience period are 750,000 and are expected to remain at this level through 2023.</t>
  </si>
  <si>
    <t>•       All losses of at least 200,000 are shown.</t>
  </si>
  <si>
    <t>Loss Experience Evaluated as of December 31, 2021</t>
  </si>
  <si>
    <t xml:space="preserve">excess of </t>
  </si>
  <si>
    <t>layer</t>
  </si>
  <si>
    <r>
      <t>(</t>
    </r>
    <r>
      <rPr>
        <i/>
        <sz val="12"/>
        <color theme="8" tint="-0.499984740745262"/>
        <rFont val="Times New Roman"/>
        <family val="1"/>
      </rPr>
      <t>5 points</t>
    </r>
    <r>
      <rPr>
        <sz val="12"/>
        <color theme="8" tint="-0.499984740745262"/>
        <rFont val="Times New Roman"/>
        <family val="1"/>
      </rPr>
      <t xml:space="preserve">)  A reinsurance company is writing a casualty per occurrence excess treaty for accident year 2023 covering the </t>
    </r>
  </si>
  <si>
    <t>The reinsurer will need to consider the credit risk of the ceding company because the reinsurer will need to rely upon the ceding company's ability to pay the additional premium in the event of a full loss. At this point, the ceding company may be financially weakened.</t>
  </si>
  <si>
    <r>
      <t>(</t>
    </r>
    <r>
      <rPr>
        <i/>
        <sz val="12"/>
        <color theme="8" tint="-0.499984740745262"/>
        <rFont val="Times New Roman"/>
        <family val="1"/>
      </rPr>
      <t>1 point</t>
    </r>
    <r>
      <rPr>
        <sz val="12"/>
        <color theme="8" tint="-0.499984740745262"/>
        <rFont val="Times New Roman"/>
        <family val="1"/>
      </rPr>
      <t>)  Explain how credit risk affects the comparison.</t>
    </r>
  </si>
  <si>
    <t>A further consideration when comparing a traditional risk cover to a finite risk cover is credit risk.</t>
  </si>
  <si>
    <t>expected underwriting loss with the finite risk cover.</t>
  </si>
  <si>
    <r>
      <t>(</t>
    </r>
    <r>
      <rPr>
        <i/>
        <sz val="12"/>
        <color theme="8" tint="-0.499984740745262"/>
        <rFont val="Times New Roman"/>
        <family val="1"/>
      </rPr>
      <t>0.5 points</t>
    </r>
    <r>
      <rPr>
        <sz val="12"/>
        <color theme="8" tint="-0.499984740745262"/>
        <rFont val="Times New Roman"/>
        <family val="1"/>
      </rPr>
      <t xml:space="preserve">)  Calculate the minimum value of </t>
    </r>
    <r>
      <rPr>
        <i/>
        <sz val="12"/>
        <color theme="8" tint="-0.499984740745262"/>
        <rFont val="Times New Roman"/>
        <family val="1"/>
      </rPr>
      <t>N</t>
    </r>
    <r>
      <rPr>
        <sz val="12"/>
        <color theme="8" tint="-0.499984740745262"/>
        <rFont val="Times New Roman"/>
        <family val="1"/>
      </rPr>
      <t xml:space="preserve"> that would allow ABC Reinsurance Company to avoid an </t>
    </r>
  </si>
  <si>
    <t xml:space="preserve">and that the probability of a partial loss is negligible. </t>
  </si>
  <si>
    <r>
      <t xml:space="preserve">A catastrophe model indicates that a loss will fully exhaust the limit once every </t>
    </r>
    <r>
      <rPr>
        <i/>
        <sz val="12"/>
        <color theme="8" tint="-0.499984740745262"/>
        <rFont val="Times New Roman"/>
        <family val="1"/>
      </rPr>
      <t>N</t>
    </r>
    <r>
      <rPr>
        <sz val="12"/>
        <color theme="8" tint="-0.499984740745262"/>
        <rFont val="Times New Roman"/>
        <family val="1"/>
      </rPr>
      <t xml:space="preserve"> years </t>
    </r>
  </si>
  <si>
    <r>
      <t>(</t>
    </r>
    <r>
      <rPr>
        <i/>
        <sz val="12"/>
        <color theme="8" tint="-0.499984740745262"/>
        <rFont val="Times New Roman"/>
        <family val="1"/>
      </rPr>
      <t>0.5 points</t>
    </r>
    <r>
      <rPr>
        <sz val="12"/>
        <color theme="8" tint="-0.499984740745262"/>
        <rFont val="Times New Roman"/>
        <family val="1"/>
      </rPr>
      <t>)  Calculate the rate on line for an equivalent traditional risk cover.</t>
    </r>
  </si>
  <si>
    <r>
      <t>(</t>
    </r>
    <r>
      <rPr>
        <i/>
        <sz val="12"/>
        <color theme="8" tint="-0.499984740745262"/>
        <rFont val="Times New Roman"/>
        <family val="1"/>
      </rPr>
      <t>0.5 points</t>
    </r>
    <r>
      <rPr>
        <sz val="12"/>
        <color theme="8" tint="-0.499984740745262"/>
        <rFont val="Times New Roman"/>
        <family val="1"/>
      </rPr>
      <t>)  Calculate the premium for an equivalent traditional risk cover.</t>
    </r>
  </si>
  <si>
    <r>
      <t>(</t>
    </r>
    <r>
      <rPr>
        <i/>
        <sz val="12"/>
        <color theme="8" tint="-0.499984740745262"/>
        <rFont val="Times New Roman"/>
        <family val="1"/>
      </rPr>
      <t>1 point</t>
    </r>
    <r>
      <rPr>
        <sz val="12"/>
        <color theme="8" tint="-0.499984740745262"/>
        <rFont val="Times New Roman"/>
        <family val="1"/>
      </rPr>
      <t>)  Calculate the underwriting loss (excluding expenses) to ABC Reinsurance if a loss fully exhausts the limit.</t>
    </r>
  </si>
  <si>
    <r>
      <t>(</t>
    </r>
    <r>
      <rPr>
        <i/>
        <sz val="12"/>
        <color theme="8" tint="-0.499984740745262"/>
        <rFont val="Times New Roman"/>
        <family val="1"/>
      </rPr>
      <t>0.5 points</t>
    </r>
    <r>
      <rPr>
        <sz val="12"/>
        <color theme="8" tint="-0.499984740745262"/>
        <rFont val="Times New Roman"/>
        <family val="1"/>
      </rPr>
      <t>)  Calculate the nominal rate on line.</t>
    </r>
  </si>
  <si>
    <t xml:space="preserve">of (Loss + Margin – Annual Premium) </t>
  </si>
  <si>
    <t>Additional Premium</t>
  </si>
  <si>
    <t>margin on Annual Premium</t>
  </si>
  <si>
    <t>after</t>
  </si>
  <si>
    <t>Profit Commission</t>
  </si>
  <si>
    <t>Occurrence Limit</t>
  </si>
  <si>
    <t>Annual Premium</t>
  </si>
  <si>
    <t xml:space="preserve">with the following terms: </t>
  </si>
  <si>
    <r>
      <t>(</t>
    </r>
    <r>
      <rPr>
        <i/>
        <sz val="12"/>
        <color theme="8" tint="-0.499984740745262"/>
        <rFont val="Times New Roman"/>
        <family val="1"/>
      </rPr>
      <t>4 points</t>
    </r>
    <r>
      <rPr>
        <sz val="12"/>
        <color theme="8" tint="-0.499984740745262"/>
        <rFont val="Times New Roman"/>
        <family val="1"/>
      </rPr>
      <t xml:space="preserve">)  ABC Reinsurance Company has proposed a finite risk cover without reinstatements to Ceding Insurance Company </t>
    </r>
  </si>
  <si>
    <t>Experience rating is generally not useful.</t>
  </si>
  <si>
    <t>(iii)   Clash Cover</t>
  </si>
  <si>
    <t>Experience rating is of limited usefulness.</t>
  </si>
  <si>
    <t>(ii)    Exposed Excess</t>
  </si>
  <si>
    <t>Experience rating is generally used and is likely to give a rate representative of the risk.</t>
  </si>
  <si>
    <t>(i)     Working Layer</t>
  </si>
  <si>
    <r>
      <t>(</t>
    </r>
    <r>
      <rPr>
        <i/>
        <sz val="12"/>
        <color theme="8" tint="-0.499984740745262"/>
        <rFont val="Times New Roman"/>
        <family val="1"/>
      </rPr>
      <t>0.5 points</t>
    </r>
    <r>
      <rPr>
        <sz val="12"/>
        <color theme="8" tint="-0.499984740745262"/>
        <rFont val="Times New Roman"/>
        <family val="1"/>
      </rPr>
      <t>)  Compare the use of experience rating in pricing treaties in the three categories.</t>
    </r>
  </si>
  <si>
    <t>Layer may have only a few claims, or no claims over the experience period.</t>
  </si>
  <si>
    <t>Layer likely to have a small number of claims over the experience period.</t>
  </si>
  <si>
    <t>Layer that regularly has claims over the experience period.</t>
  </si>
  <si>
    <r>
      <t>(iii)</t>
    </r>
    <r>
      <rPr>
        <sz val="7"/>
        <color theme="8" tint="-0.499984740745262"/>
        <rFont val="Times New Roman"/>
        <family val="1"/>
      </rPr>
      <t xml:space="preserve">         </t>
    </r>
    <r>
      <rPr>
        <sz val="12"/>
        <color theme="8" tint="-0.499984740745262"/>
        <rFont val="Times New Roman"/>
        <family val="1"/>
      </rPr>
      <t>Clash Cover</t>
    </r>
  </si>
  <si>
    <r>
      <t>(ii)</t>
    </r>
    <r>
      <rPr>
        <sz val="7"/>
        <color theme="8" tint="-0.499984740745262"/>
        <rFont val="Times New Roman"/>
        <family val="1"/>
      </rPr>
      <t xml:space="preserve">           </t>
    </r>
    <r>
      <rPr>
        <sz val="12"/>
        <color theme="8" tint="-0.499984740745262"/>
        <rFont val="Times New Roman"/>
        <family val="1"/>
      </rPr>
      <t>Exposed Excess</t>
    </r>
  </si>
  <si>
    <r>
      <t>(i)</t>
    </r>
    <r>
      <rPr>
        <sz val="7"/>
        <color theme="8" tint="-0.499984740745262"/>
        <rFont val="Times New Roman"/>
        <family val="1"/>
      </rPr>
      <t xml:space="preserve">            </t>
    </r>
    <r>
      <rPr>
        <sz val="12"/>
        <color theme="8" tint="-0.499984740745262"/>
        <rFont val="Times New Roman"/>
        <family val="1"/>
      </rPr>
      <t>Working Layer</t>
    </r>
  </si>
  <si>
    <r>
      <t>(</t>
    </r>
    <r>
      <rPr>
        <i/>
        <sz val="12"/>
        <color theme="8" tint="-0.499984740745262"/>
        <rFont val="Times New Roman"/>
        <family val="1"/>
      </rPr>
      <t>1 point</t>
    </r>
    <r>
      <rPr>
        <sz val="12"/>
        <color theme="8" tint="-0.499984740745262"/>
        <rFont val="Times New Roman"/>
        <family val="1"/>
      </rPr>
      <t xml:space="preserve">)  Describe the characteristics of the following categories: </t>
    </r>
  </si>
  <si>
    <t>Casualty per occurrence excess treaties are often separated into three categories.</t>
  </si>
  <si>
    <t>Loss cost rate</t>
  </si>
  <si>
    <t>Layer Loss Cost</t>
  </si>
  <si>
    <t>ELF top 
of layer</t>
  </si>
  <si>
    <t>ELF bottom of layer</t>
  </si>
  <si>
    <t>Standard Premium</t>
  </si>
  <si>
    <t>Hazard Group</t>
  </si>
  <si>
    <t>State</t>
  </si>
  <si>
    <t>Layer 500,000 excess 250,000</t>
  </si>
  <si>
    <r>
      <t>(</t>
    </r>
    <r>
      <rPr>
        <i/>
        <sz val="12"/>
        <color theme="8" tint="-0.499984740745262"/>
        <rFont val="Times New Roman"/>
        <family val="1"/>
      </rPr>
      <t>2.5 points</t>
    </r>
    <r>
      <rPr>
        <sz val="12"/>
        <color theme="8" tint="-0.499984740745262"/>
        <rFont val="Times New Roman"/>
        <family val="1"/>
      </rPr>
      <t>)  Calculate the loss cost rate for the treaty.</t>
    </r>
  </si>
  <si>
    <t>b</t>
  </si>
  <si>
    <t>Hazard Group D</t>
  </si>
  <si>
    <t>Hazard Group C</t>
  </si>
  <si>
    <t>NCCI ELF Curve Estimation</t>
  </si>
  <si>
    <r>
      <t>You assume that the NCCI excess loss factor (ELF) curves can be approximated by an inverse power curve of the form ELF</t>
    </r>
    <r>
      <rPr>
        <i/>
        <vertAlign val="subscript"/>
        <sz val="12"/>
        <color theme="8" tint="-0.499984740745262"/>
        <rFont val="Times New Roman"/>
        <family val="1"/>
      </rPr>
      <t>L</t>
    </r>
    <r>
      <rPr>
        <sz val="12"/>
        <color theme="8" tint="-0.499984740745262"/>
        <rFont val="Times New Roman"/>
        <family val="1"/>
      </rPr>
      <t xml:space="preserve"> = </t>
    </r>
    <r>
      <rPr>
        <i/>
        <sz val="12"/>
        <color theme="8" tint="-0.499984740745262"/>
        <rFont val="Times New Roman"/>
        <family val="1"/>
      </rPr>
      <t>a</t>
    </r>
    <r>
      <rPr>
        <sz val="12"/>
        <color theme="8" tint="-0.499984740745262"/>
        <rFont val="Times New Roman"/>
        <family val="1"/>
      </rPr>
      <t xml:space="preserve"> </t>
    </r>
    <r>
      <rPr>
        <i/>
        <sz val="12"/>
        <color theme="8" tint="-0.499984740745262"/>
        <rFont val="Times New Roman"/>
        <family val="1"/>
      </rPr>
      <t>L</t>
    </r>
    <r>
      <rPr>
        <vertAlign val="superscript"/>
        <sz val="12"/>
        <color theme="8" tint="-0.499984740745262"/>
        <rFont val="Times New Roman"/>
        <family val="1"/>
      </rPr>
      <t>-</t>
    </r>
    <r>
      <rPr>
        <i/>
        <vertAlign val="superscript"/>
        <sz val="12"/>
        <color theme="8" tint="-0.499984740745262"/>
        <rFont val="Times New Roman"/>
        <family val="1"/>
      </rPr>
      <t>b</t>
    </r>
    <r>
      <rPr>
        <sz val="12"/>
        <color theme="8" tint="-0.499984740745262"/>
        <rFont val="Times New Roman"/>
        <family val="1"/>
      </rPr>
      <t>.</t>
    </r>
  </si>
  <si>
    <t>You are given the following:</t>
  </si>
  <si>
    <r>
      <t>(</t>
    </r>
    <r>
      <rPr>
        <i/>
        <sz val="12"/>
        <color theme="8" tint="-0.499984740745262"/>
        <rFont val="Times New Roman"/>
        <family val="1"/>
      </rPr>
      <t>4 points</t>
    </r>
    <r>
      <rPr>
        <sz val="12"/>
        <color theme="8" tint="-0.499984740745262"/>
        <rFont val="Times New Roman"/>
        <family val="1"/>
      </rPr>
      <t xml:space="preserve">)  You are using exposure rating to price a workers compensation treaty.  The treaty covers the layer 500,000 excess of 250,000.  </t>
    </r>
  </si>
  <si>
    <t xml:space="preserve"> </t>
  </si>
  <si>
    <t>Aggregate Losses  
(billions)</t>
  </si>
  <si>
    <r>
      <t>(</t>
    </r>
    <r>
      <rPr>
        <i/>
        <sz val="12"/>
        <color theme="8" tint="-0.499984740745262"/>
        <rFont val="Times New Roman"/>
        <family val="1"/>
      </rPr>
      <t>3 points</t>
    </r>
    <r>
      <rPr>
        <sz val="12"/>
        <color theme="8" tint="-0.499984740745262"/>
        <rFont val="Times New Roman"/>
        <family val="1"/>
      </rPr>
      <t>)  Complete the following aggregate loss probability table:</t>
    </r>
  </si>
  <si>
    <r>
      <t>(</t>
    </r>
    <r>
      <rPr>
        <i/>
        <sz val="12"/>
        <color theme="8" tint="-0.499984740745262"/>
        <rFont val="Times New Roman"/>
        <family val="1"/>
      </rPr>
      <t>1.5 points</t>
    </r>
    <r>
      <rPr>
        <sz val="12"/>
        <color theme="8" tint="-0.499984740745262"/>
        <rFont val="Times New Roman"/>
        <family val="1"/>
      </rPr>
      <t>)  Calculate the mean and coefficient of variation for the aggregate losses.</t>
    </r>
  </si>
  <si>
    <t>Loss Size (billions)</t>
  </si>
  <si>
    <t>The loss size distribution for catastrophes is as follows:</t>
  </si>
  <si>
    <t>Count mean</t>
  </si>
  <si>
    <t>The annual number of catastrophe losses has a Poisson distribution with mean 1.5.</t>
  </si>
  <si>
    <t xml:space="preserve">You are assessing your company’s reinsurance program for the management of catastrophe risk. </t>
  </si>
  <si>
    <t>Separate modeling of the claim frequency distribution and the severity distribution and then they are combined to produce the aggregate loss distribution.</t>
  </si>
  <si>
    <r>
      <t>(</t>
    </r>
    <r>
      <rPr>
        <i/>
        <sz val="12"/>
        <color theme="8" tint="-0.499984740745262"/>
        <rFont val="Times New Roman"/>
        <family val="1"/>
      </rPr>
      <t>0.5 points</t>
    </r>
    <r>
      <rPr>
        <sz val="12"/>
        <color theme="8" tint="-0.499984740745262"/>
        <rFont val="Times New Roman"/>
        <family val="1"/>
      </rPr>
      <t>)  Describe what is meant by “collective risk model.”</t>
    </r>
  </si>
  <si>
    <r>
      <t>(</t>
    </r>
    <r>
      <rPr>
        <i/>
        <sz val="12"/>
        <color theme="8" tint="-0.499984740745262"/>
        <rFont val="Times New Roman"/>
        <family val="1"/>
      </rPr>
      <t>5 points</t>
    </r>
    <r>
      <rPr>
        <sz val="12"/>
        <color theme="8" tint="-0.499984740745262"/>
        <rFont val="Times New Roman"/>
        <family val="1"/>
      </rPr>
      <t xml:space="preserve">)  </t>
    </r>
  </si>
  <si>
    <t>Yes, the scale is balanced because the expected commission is close to the commission at the expected LR.</t>
  </si>
  <si>
    <t>Expected commision</t>
  </si>
  <si>
    <t>Commission at expected LR</t>
  </si>
  <si>
    <t>Expected LR</t>
  </si>
  <si>
    <r>
      <t>(</t>
    </r>
    <r>
      <rPr>
        <i/>
        <sz val="12"/>
        <color theme="8" tint="-0.499984740745262"/>
        <rFont val="Times New Roman"/>
        <family val="1"/>
      </rPr>
      <t>1 point</t>
    </r>
    <r>
      <rPr>
        <sz val="12"/>
        <color theme="8" tint="-0.499984740745262"/>
        <rFont val="Times New Roman"/>
        <family val="1"/>
      </rPr>
      <t xml:space="preserve">)  Assess whether the sliding scale commission is balanced. </t>
    </r>
  </si>
  <si>
    <t>Expected technical ratio</t>
  </si>
  <si>
    <t>Technical Ratio</t>
  </si>
  <si>
    <t>Loss Ratio (LR)</t>
  </si>
  <si>
    <r>
      <t>(</t>
    </r>
    <r>
      <rPr>
        <i/>
        <sz val="12"/>
        <color theme="8" tint="-0.499984740745262"/>
        <rFont val="Times New Roman"/>
        <family val="1"/>
      </rPr>
      <t>1 point</t>
    </r>
    <r>
      <rPr>
        <sz val="12"/>
        <color theme="8" tint="-0.499984740745262"/>
        <rFont val="Times New Roman"/>
        <family val="1"/>
      </rPr>
      <t xml:space="preserve">)  Calculate the expected technical ratio (loss ratio plus commission ratio) for the treaty. </t>
    </r>
  </si>
  <si>
    <t>90% or above</t>
  </si>
  <si>
    <t>50% - 90%</t>
  </si>
  <si>
    <t>50% or below</t>
  </si>
  <si>
    <t>Sliding Scale</t>
  </si>
  <si>
    <t xml:space="preserve">You are also evaluating a proportional treaty with a sliding scale commission.  You are given the following information: </t>
  </si>
  <si>
    <t>Expected Loss in Layer</t>
  </si>
  <si>
    <t>Reins_Factor</t>
  </si>
  <si>
    <t>ILF RIend</t>
  </si>
  <si>
    <t>ILF RIstart</t>
  </si>
  <si>
    <t>ILF Pol_End</t>
  </si>
  <si>
    <t>ILF Pol_Start</t>
  </si>
  <si>
    <t>Reins_End</t>
  </si>
  <si>
    <t>Reins_Start</t>
  </si>
  <si>
    <t>Pol_End</t>
  </si>
  <si>
    <t>Pol_Start</t>
  </si>
  <si>
    <t>Subj. Premium</t>
  </si>
  <si>
    <r>
      <t>(</t>
    </r>
    <r>
      <rPr>
        <i/>
        <sz val="12"/>
        <color theme="8" tint="-0.499984740745262"/>
        <rFont val="Times New Roman"/>
        <family val="1"/>
      </rPr>
      <t>3 points</t>
    </r>
    <r>
      <rPr>
        <sz val="12"/>
        <color theme="8" tint="-0.499984740745262"/>
        <rFont val="Times New Roman"/>
        <family val="1"/>
      </rPr>
      <t>)  Calculate the expected losses in the layer using an exposure rating approach.</t>
    </r>
  </si>
  <si>
    <t>The expected loss ratio is 60%.</t>
  </si>
  <si>
    <t>Increased
Limits Factor</t>
  </si>
  <si>
    <t>Policy 
Limit</t>
  </si>
  <si>
    <t>excess of</t>
  </si>
  <si>
    <r>
      <t>(</t>
    </r>
    <r>
      <rPr>
        <i/>
        <sz val="12"/>
        <color theme="8" tint="-0.499984740745262"/>
        <rFont val="Times New Roman"/>
        <family val="1"/>
      </rPr>
      <t>5 points</t>
    </r>
    <r>
      <rPr>
        <sz val="12"/>
        <color theme="8" tint="-0.499984740745262"/>
        <rFont val="Times New Roman"/>
        <family val="1"/>
      </rPr>
      <t>)  Your reinsurance company is evaluating a proposed casualty per occurrence excess treaty covering the layer 3,000,000 excess of 1,000,000.  
The following information has been provided:</t>
    </r>
  </si>
  <si>
    <t>This can apply when the reinsurer has assumed substantially all risk from the cedant.</t>
  </si>
  <si>
    <r>
      <t>(</t>
    </r>
    <r>
      <rPr>
        <i/>
        <sz val="12"/>
        <color theme="8" tint="-0.499984740745262"/>
        <rFont val="Times New Roman"/>
        <family val="1"/>
      </rPr>
      <t>0.5 points</t>
    </r>
    <r>
      <rPr>
        <sz val="12"/>
        <color theme="8" tint="-0.499984740745262"/>
        <rFont val="Times New Roman"/>
        <family val="1"/>
      </rPr>
      <t>)  Describe when this may apply.</t>
    </r>
  </si>
  <si>
    <r>
      <t xml:space="preserve">and the contract does </t>
    </r>
    <r>
      <rPr>
        <u/>
        <sz val="12"/>
        <color theme="8" tint="-0.499984740745262"/>
        <rFont val="Times New Roman"/>
        <family val="1"/>
      </rPr>
      <t>not</t>
    </r>
    <r>
      <rPr>
        <sz val="12"/>
        <color theme="8" tint="-0.499984740745262"/>
        <rFont val="Times New Roman"/>
        <family val="1"/>
      </rPr>
      <t xml:space="preserve"> meet the conditions for risk transfer from a quantitative test.</t>
    </r>
  </si>
  <si>
    <r>
      <t xml:space="preserve">Reinsurance accounting may be applicable even if the risk transfer in this reinsurance contract is </t>
    </r>
    <r>
      <rPr>
        <u/>
        <sz val="12"/>
        <color theme="8" tint="-0.499984740745262"/>
        <rFont val="Times New Roman"/>
        <family val="1"/>
      </rPr>
      <t>not</t>
    </r>
    <r>
      <rPr>
        <sz val="12"/>
        <color theme="8" tint="-0.499984740745262"/>
        <rFont val="Times New Roman"/>
        <family val="1"/>
      </rPr>
      <t xml:space="preserve"> categorized as “reasonably self-evident” </t>
    </r>
  </si>
  <si>
    <t>T</t>
  </si>
  <si>
    <t>This is less than the threshold of 1% so it fails the risk transfer test.</t>
  </si>
  <si>
    <t>ERD</t>
  </si>
  <si>
    <t>Reins. net economic loss</t>
  </si>
  <si>
    <t>Reins. after loss particpation</t>
  </si>
  <si>
    <t>Cedant's loss particpation</t>
  </si>
  <si>
    <t>Reins. before loss particpation</t>
  </si>
  <si>
    <t>ERD Theshold</t>
  </si>
  <si>
    <r>
      <t>(</t>
    </r>
    <r>
      <rPr>
        <i/>
        <sz val="12"/>
        <color theme="8" tint="-0.499984740745262"/>
        <rFont val="Times New Roman"/>
        <family val="1"/>
      </rPr>
      <t>2.5 points</t>
    </r>
    <r>
      <rPr>
        <sz val="12"/>
        <color theme="8" tint="-0.499984740745262"/>
        <rFont val="Times New Roman"/>
        <family val="1"/>
      </rPr>
      <t>)  Determine whether or not this reinsurance contract transfers sufficient risk to permit reinsurance accounting using the Expected Reinsurer Deficit (ERD) test with a threshold of 1%.</t>
    </r>
  </si>
  <si>
    <r>
      <t>(</t>
    </r>
    <r>
      <rPr>
        <i/>
        <sz val="12"/>
        <color theme="8" tint="-0.499984740745262"/>
        <rFont val="Times New Roman"/>
        <family val="1"/>
      </rPr>
      <t>1 point</t>
    </r>
    <r>
      <rPr>
        <sz val="12"/>
        <color theme="8" tint="-0.499984740745262"/>
        <rFont val="Times New Roman"/>
        <family val="1"/>
      </rPr>
      <t xml:space="preserve">)  Explain why the risk transfer in this reinsurance contract would </t>
    </r>
    <r>
      <rPr>
        <u/>
        <sz val="12"/>
        <color theme="8" tint="-0.499984740745262"/>
        <rFont val="Times New Roman"/>
        <family val="1"/>
      </rPr>
      <t>not</t>
    </r>
    <r>
      <rPr>
        <sz val="12"/>
        <color theme="8" tint="-0.499984740745262"/>
        <rFont val="Times New Roman"/>
        <family val="1"/>
      </rPr>
      <t xml:space="preserve"> be categorized as “reasonably self-evident” to permit reinsurance accounting.</t>
    </r>
  </si>
  <si>
    <t>Investment Yield</t>
  </si>
  <si>
    <r>
      <t>·</t>
    </r>
    <r>
      <rPr>
        <sz val="7"/>
        <color theme="8" tint="-0.499984740745262"/>
        <rFont val="Times New Roman"/>
        <family val="1"/>
      </rPr>
      <t xml:space="preserve">       </t>
    </r>
    <r>
      <rPr>
        <sz val="12"/>
        <color theme="8" tint="-0.499984740745262"/>
        <rFont val="Times New Roman"/>
        <family val="1"/>
      </rPr>
      <t>The annual after-tax investment yield is 4.0% at inception of the reinsurance contract.</t>
    </r>
  </si>
  <si>
    <r>
      <t>·</t>
    </r>
    <r>
      <rPr>
        <sz val="7"/>
        <color theme="8" tint="-0.499984740745262"/>
        <rFont val="Times New Roman"/>
        <family val="1"/>
      </rPr>
      <t xml:space="preserve">       </t>
    </r>
    <r>
      <rPr>
        <sz val="12"/>
        <color theme="8" tint="-0.499984740745262"/>
        <rFont val="Times New Roman"/>
        <family val="1"/>
      </rPr>
      <t>Most of the claims from this business are expected to be paid in 2023 and all will be paid before the end of 2025.</t>
    </r>
  </si>
  <si>
    <t xml:space="preserve"> Incurred in Millions</t>
  </si>
  <si>
    <t>Probability of Result</t>
  </si>
  <si>
    <t>The aggregate distribution of claims incurred in 2023 is estimated as follows:</t>
  </si>
  <si>
    <t>Settlement date</t>
  </si>
  <si>
    <r>
      <t>·</t>
    </r>
    <r>
      <rPr>
        <sz val="7"/>
        <color theme="8" tint="-0.499984740745262"/>
        <rFont val="Times New Roman"/>
        <family val="1"/>
      </rPr>
      <t xml:space="preserve">       </t>
    </r>
    <r>
      <rPr>
        <sz val="12"/>
        <color theme="8" tint="-0.499984740745262"/>
        <rFont val="Times New Roman"/>
        <family val="1"/>
      </rPr>
      <t xml:space="preserve">Reinsurance payments and the cedant’s loss participation payment occur on July 1, 2026. </t>
    </r>
  </si>
  <si>
    <t>Cedant's Loss Part.</t>
  </si>
  <si>
    <r>
      <t>·</t>
    </r>
    <r>
      <rPr>
        <sz val="7"/>
        <color theme="8" tint="-0.499984740745262"/>
        <rFont val="Times New Roman"/>
        <family val="1"/>
      </rPr>
      <t xml:space="preserve">       </t>
    </r>
    <r>
      <rPr>
        <sz val="12"/>
        <color theme="8" tint="-0.499984740745262"/>
        <rFont val="Times New Roman"/>
        <family val="1"/>
      </rPr>
      <t>Cedant’s loss participation is 65%</t>
    </r>
    <r>
      <rPr>
        <sz val="12"/>
        <color theme="8" tint="-0.499984740745262"/>
        <rFont val="Symbol"/>
        <family val="1"/>
        <charset val="2"/>
      </rPr>
      <t>.</t>
    </r>
  </si>
  <si>
    <t>Ceded Premium (in millions)</t>
  </si>
  <si>
    <r>
      <t>·</t>
    </r>
    <r>
      <rPr>
        <sz val="7"/>
        <color theme="8" tint="-0.499984740745262"/>
        <rFont val="Times New Roman"/>
        <family val="1"/>
      </rPr>
      <t xml:space="preserve">       </t>
    </r>
    <r>
      <rPr>
        <sz val="12"/>
        <color theme="8" tint="-0.499984740745262"/>
        <rFont val="Times New Roman"/>
        <family val="1"/>
      </rPr>
      <t>Ceded premium is 48 million, paid on January 1, 2023</t>
    </r>
    <r>
      <rPr>
        <sz val="12"/>
        <color theme="8" tint="-0.499984740745262"/>
        <rFont val="Symbol"/>
        <family val="1"/>
        <charset val="2"/>
      </rPr>
      <t>.</t>
    </r>
  </si>
  <si>
    <t>XS</t>
  </si>
  <si>
    <t>Layer (in millions)</t>
  </si>
  <si>
    <r>
      <t>·</t>
    </r>
    <r>
      <rPr>
        <sz val="7"/>
        <color theme="8" tint="-0.499984740745262"/>
        <rFont val="Times New Roman"/>
        <family val="1"/>
      </rPr>
      <t xml:space="preserve">       </t>
    </r>
    <r>
      <rPr>
        <sz val="12"/>
        <color theme="8" tint="-0.499984740745262"/>
        <rFont val="Times New Roman"/>
        <family val="1"/>
      </rPr>
      <t>It is an aggregate excess of loss contract for the layer 100 million excess of 150 million</t>
    </r>
    <r>
      <rPr>
        <sz val="12"/>
        <color theme="8" tint="-0.499984740745262"/>
        <rFont val="Symbol"/>
        <family val="1"/>
        <charset val="2"/>
      </rPr>
      <t>.</t>
    </r>
  </si>
  <si>
    <t>Inception date</t>
  </si>
  <si>
    <r>
      <t>·</t>
    </r>
    <r>
      <rPr>
        <sz val="7"/>
        <color theme="8" tint="-0.499984740745262"/>
        <rFont val="Times New Roman"/>
        <family val="1"/>
      </rPr>
      <t xml:space="preserve">       </t>
    </r>
    <r>
      <rPr>
        <sz val="12"/>
        <color theme="8" tint="-0.499984740745262"/>
        <rFont val="Times New Roman"/>
        <family val="1"/>
      </rPr>
      <t>It applies to claims incurred in 2023 for all lines of business combined</t>
    </r>
    <r>
      <rPr>
        <sz val="12"/>
        <color theme="8" tint="-0.499984740745262"/>
        <rFont val="Symbol"/>
        <family val="1"/>
        <charset val="2"/>
      </rPr>
      <t>.</t>
    </r>
  </si>
  <si>
    <r>
      <t>(</t>
    </r>
    <r>
      <rPr>
        <i/>
        <sz val="12"/>
        <color theme="8" tint="-0.499984740745262"/>
        <rFont val="Times New Roman"/>
        <family val="1"/>
      </rPr>
      <t>4 points</t>
    </r>
    <r>
      <rPr>
        <sz val="12"/>
        <color theme="8" tint="-0.499984740745262"/>
        <rFont val="Times New Roman"/>
        <family val="1"/>
      </rPr>
      <t>)   You are given the following information regarding a reinsurance contract:</t>
    </r>
  </si>
  <si>
    <t>Retention</t>
  </si>
  <si>
    <t>AAD from claim</t>
  </si>
  <si>
    <t>Cumulative Reinsurance AAD</t>
  </si>
  <si>
    <t>Cumulative Reinsurance before AAD</t>
  </si>
  <si>
    <t>Retention-Above Treaty Limit</t>
  </si>
  <si>
    <t>Reinsurance before AAD</t>
  </si>
  <si>
    <t>Retention-Below Attach.</t>
  </si>
  <si>
    <t>Ultimate Claim</t>
  </si>
  <si>
    <t>BASED ON CLARK</t>
  </si>
  <si>
    <r>
      <t>(</t>
    </r>
    <r>
      <rPr>
        <i/>
        <sz val="12"/>
        <color theme="8" tint="-0.499984740745262"/>
        <rFont val="Times New Roman"/>
        <family val="1"/>
      </rPr>
      <t>2.5 points</t>
    </r>
    <r>
      <rPr>
        <sz val="12"/>
        <color theme="8" tint="-0.499984740745262"/>
        <rFont val="Times New Roman"/>
        <family val="1"/>
      </rPr>
      <t xml:space="preserve">)  Calculate the amount retained by ABC for each claim. </t>
    </r>
  </si>
  <si>
    <t>Claim 
Number</t>
  </si>
  <si>
    <t>ABC’s claims covered by the treaty in order of occurrence are:</t>
  </si>
  <si>
    <t>Annual Aggregate Deductible (AAD)</t>
  </si>
  <si>
    <t>Attachment Point</t>
  </si>
  <si>
    <t>Treaty Limit</t>
  </si>
  <si>
    <t>A different insurer, ABC Insurance, has a per risk excess of loss reinsurance treaty as follows:</t>
  </si>
  <si>
    <r>
      <t>(</t>
    </r>
    <r>
      <rPr>
        <i/>
        <sz val="12"/>
        <color theme="8" tint="-0.499984740745262"/>
        <rFont val="Times New Roman"/>
        <family val="1"/>
      </rPr>
      <t>0.5 points</t>
    </r>
    <r>
      <rPr>
        <sz val="12"/>
        <color theme="8" tint="-0.499984740745262"/>
        <rFont val="Times New Roman"/>
        <family val="1"/>
      </rPr>
      <t xml:space="preserve">)  Calculate the reinstatement premium for the catastrophe treaty. </t>
    </r>
  </si>
  <si>
    <t xml:space="preserve"> pro-rata as to amount.   </t>
  </si>
  <si>
    <r>
      <t>·</t>
    </r>
    <r>
      <rPr>
        <sz val="7"/>
        <color theme="8" tint="-0.499984740745262"/>
        <rFont val="Times New Roman"/>
        <family val="1"/>
      </rPr>
      <t xml:space="preserve">       </t>
    </r>
    <r>
      <rPr>
        <sz val="12"/>
        <color theme="8" tint="-0.499984740745262"/>
        <rFont val="Times New Roman"/>
        <family val="1"/>
      </rPr>
      <t>There is a reinstatement provision that is</t>
    </r>
  </si>
  <si>
    <r>
      <t>·</t>
    </r>
    <r>
      <rPr>
        <sz val="7"/>
        <color theme="8" tint="-0.499984740745262"/>
        <rFont val="Times New Roman"/>
        <family val="1"/>
      </rPr>
      <t xml:space="preserve">       </t>
    </r>
    <r>
      <rPr>
        <sz val="12"/>
        <color theme="8" tint="-0.499984740745262"/>
        <rFont val="Times New Roman"/>
        <family val="1"/>
      </rPr>
      <t>The annual premum is</t>
    </r>
  </si>
  <si>
    <t>You are provided with the following information on the catastrophe treaty:</t>
  </si>
  <si>
    <t>Recoverable from Catastrophe Treaty</t>
  </si>
  <si>
    <t>Retention after Surplus and Per Risk Excess</t>
  </si>
  <si>
    <t>Recoverable from Per Risk Excess Treaty</t>
  </si>
  <si>
    <t>Retention after Surplus Treaty</t>
  </si>
  <si>
    <t>Recoverable from  Surplus Treaty</t>
  </si>
  <si>
    <t>Surplus Ceded %</t>
  </si>
  <si>
    <t>Surplus Cover</t>
  </si>
  <si>
    <t>Insured Value</t>
  </si>
  <si>
    <r>
      <t>(</t>
    </r>
    <r>
      <rPr>
        <i/>
        <sz val="12"/>
        <color theme="8" tint="-0.499984740745262"/>
        <rFont val="Times New Roman"/>
        <family val="1"/>
      </rPr>
      <t>2 points</t>
    </r>
    <r>
      <rPr>
        <sz val="12"/>
        <color theme="8" tint="-0.499984740745262"/>
        <rFont val="Times New Roman"/>
        <family val="1"/>
      </rPr>
      <t>)  Calculate the total losses recoverable under each treaty.</t>
    </r>
  </si>
  <si>
    <t>E</t>
  </si>
  <si>
    <t>During the year, an earthquake caused the following covered losses for XYZ:</t>
  </si>
  <si>
    <t>6,000 in excess of 4,000</t>
  </si>
  <si>
    <t>Catastrophe</t>
  </si>
  <si>
    <t>2,000 in excess of 1,000</t>
  </si>
  <si>
    <t>Per Risk Excess of Loss</t>
  </si>
  <si>
    <t>4 lines with 1,000 retained line</t>
  </si>
  <si>
    <t>Surplus Share</t>
  </si>
  <si>
    <t>Description</t>
  </si>
  <si>
    <t>Reinsurance Treaty</t>
  </si>
  <si>
    <r>
      <t>(</t>
    </r>
    <r>
      <rPr>
        <i/>
        <sz val="12"/>
        <color theme="8" tint="-0.499984740745262"/>
        <rFont val="Times New Roman"/>
        <family val="1"/>
      </rPr>
      <t>5 points</t>
    </r>
    <r>
      <rPr>
        <sz val="12"/>
        <color theme="8" tint="-0.499984740745262"/>
        <rFont val="Times New Roman"/>
        <family val="1"/>
      </rPr>
      <t>)  XYZ Insurance has reinsurance arrangements applied in the following order:</t>
    </r>
  </si>
  <si>
    <t>The loss cost is increasing by accident year, so using the average would be inappropriate. There is a need to reevaluate the model.</t>
  </si>
  <si>
    <r>
      <t>(</t>
    </r>
    <r>
      <rPr>
        <i/>
        <sz val="12"/>
        <color theme="8" tint="-0.499984740745262"/>
        <rFont val="Times New Roman"/>
        <family val="1"/>
      </rPr>
      <t>0.5 points</t>
    </r>
    <r>
      <rPr>
        <sz val="12"/>
        <color theme="8" tint="-0.499984740745262"/>
        <rFont val="Times New Roman"/>
        <family val="1"/>
      </rPr>
      <t>)  Explain why using the average of all years may not be appropriate for pricing the 2024 treaty.</t>
    </r>
  </si>
  <si>
    <t>Loss Cost</t>
  </si>
  <si>
    <t xml:space="preserve">Revised </t>
  </si>
  <si>
    <t>Subject</t>
  </si>
  <si>
    <t>(20% increase)</t>
  </si>
  <si>
    <t>(10% increase)</t>
  </si>
  <si>
    <t>Increased</t>
  </si>
  <si>
    <t>Trended Ult.</t>
  </si>
  <si>
    <t xml:space="preserve">Trended Loss </t>
  </si>
  <si>
    <r>
      <t>(</t>
    </r>
    <r>
      <rPr>
        <i/>
        <sz val="12"/>
        <color theme="8" tint="-0.499984740745262"/>
        <rFont val="Times New Roman"/>
        <family val="1"/>
      </rPr>
      <t>1.5 points</t>
    </r>
    <r>
      <rPr>
        <sz val="12"/>
        <color theme="8" tint="-0.499984740745262"/>
        <rFont val="Times New Roman"/>
        <family val="1"/>
      </rPr>
      <t>)  Calculate the revised expected loss cost for each year in 2019-2022.</t>
    </r>
  </si>
  <si>
    <t>Increase 
in Losses</t>
  </si>
  <si>
    <t>Changing weather patterns are creating uncertainty in the projection of future losses.  To allow for this, the 2019-2022 losses are to be adjusted as follows:</t>
  </si>
  <si>
    <t>Trended Ult</t>
  </si>
  <si>
    <t>Layer LDF</t>
  </si>
  <si>
    <t>Trend Factor</t>
  </si>
  <si>
    <t>Factor to Ult.</t>
  </si>
  <si>
    <t>Trended Ultimate</t>
  </si>
  <si>
    <r>
      <t>(</t>
    </r>
    <r>
      <rPr>
        <i/>
        <sz val="12"/>
        <color theme="8" tint="-0.499984740745262"/>
        <rFont val="Times New Roman"/>
        <family val="1"/>
      </rPr>
      <t>3 points</t>
    </r>
    <r>
      <rPr>
        <sz val="12"/>
        <color theme="8" tint="-0.499984740745262"/>
        <rFont val="Times New Roman"/>
        <family val="1"/>
      </rPr>
      <t>)  Calculate the annual experience rating loss cost for each year in 2019-2022.</t>
    </r>
  </si>
  <si>
    <t>48-Ultimate</t>
  </si>
  <si>
    <t>excess</t>
  </si>
  <si>
    <r>
      <t>·</t>
    </r>
    <r>
      <rPr>
        <sz val="7"/>
        <color theme="8" tint="-0.499984740745262"/>
        <rFont val="Times New Roman"/>
        <family val="1"/>
      </rPr>
      <t xml:space="preserve">       </t>
    </r>
    <r>
      <rPr>
        <sz val="12"/>
        <color theme="8" tint="-0.499984740745262"/>
        <rFont val="Times New Roman"/>
        <family val="1"/>
      </rPr>
      <t>Accident year development factors applicable to losses in the layer 3,000,000 excess of 1,000,000:</t>
    </r>
  </si>
  <si>
    <t>Loss trend</t>
  </si>
  <si>
    <r>
      <t>·</t>
    </r>
    <r>
      <rPr>
        <sz val="7"/>
        <color theme="8" tint="-0.499984740745262"/>
        <rFont val="Times New Roman"/>
        <family val="1"/>
      </rPr>
      <t xml:space="preserve">       </t>
    </r>
    <r>
      <rPr>
        <sz val="12"/>
        <color theme="8" tint="-0.499984740745262"/>
        <rFont val="Times New Roman"/>
        <family val="1"/>
      </rPr>
      <t>Loss trend is 7% per year.</t>
    </r>
  </si>
  <si>
    <r>
      <t>·</t>
    </r>
    <r>
      <rPr>
        <sz val="7"/>
        <color theme="8" tint="-0.499984740745262"/>
        <rFont val="Times New Roman"/>
        <family val="1"/>
      </rPr>
      <t xml:space="preserve">       </t>
    </r>
    <r>
      <rPr>
        <sz val="12"/>
        <color theme="8" tint="-0.499984740745262"/>
        <rFont val="Times New Roman"/>
        <family val="1"/>
      </rPr>
      <t>All losses of at least 500,000 are shown.</t>
    </r>
  </si>
  <si>
    <t>On Level Subject 
Premium</t>
  </si>
  <si>
    <t>Accident 
Year</t>
  </si>
  <si>
    <t>Untrended Loss Evaluated as of 12/31/2022</t>
  </si>
  <si>
    <r>
      <t>(</t>
    </r>
    <r>
      <rPr>
        <i/>
        <sz val="12"/>
        <color theme="8" tint="-0.499984740745262"/>
        <rFont val="Times New Roman"/>
        <family val="1"/>
      </rPr>
      <t>5 points</t>
    </r>
    <r>
      <rPr>
        <sz val="12"/>
        <color theme="8" tint="-0.499984740745262"/>
        <rFont val="Times New Roman"/>
        <family val="1"/>
      </rPr>
      <t xml:space="preserve">)  A reinsurer is pricing a property per risk excess treaty for accident year 2024 covering the layer 3,000,000 excess of 1,000,000.  
</t>
    </r>
  </si>
  <si>
    <t xml:space="preserve">Testing for risk transfer is not required when risk transfer is self-evident. Risk transfer in most excess of loss reinsurance contracts is self-evident. 
This aggregate excess of loss reinsurance agreement is priced such that it is exposed to significant risk. </t>
  </si>
  <si>
    <r>
      <t>(</t>
    </r>
    <r>
      <rPr>
        <i/>
        <sz val="12"/>
        <color theme="8" tint="-0.499984740745262"/>
        <rFont val="Times New Roman"/>
        <family val="1"/>
      </rPr>
      <t>1 point</t>
    </r>
    <r>
      <rPr>
        <sz val="12"/>
        <color theme="8" tint="-0.499984740745262"/>
        <rFont val="Times New Roman"/>
        <family val="1"/>
      </rPr>
      <t>)  Explain why UVW would likely not need to test for risk transfer with respect to this reinsurance agreement.</t>
    </r>
  </si>
  <si>
    <t>ERD -5%</t>
  </si>
  <si>
    <t>starting with 250 (note that any reasonable starting value is acceptable - this may result in a slightly different P)</t>
  </si>
  <si>
    <t>$C$52</t>
  </si>
  <si>
    <t>By changing cell</t>
  </si>
  <si>
    <t>To value</t>
  </si>
  <si>
    <t>$C$56</t>
  </si>
  <si>
    <t xml:space="preserve">Set cell </t>
  </si>
  <si>
    <t>Used goal seek</t>
  </si>
  <si>
    <t>Probability of Reinsurer Deficit</t>
  </si>
  <si>
    <t>Present Value of Reinsurer Deficit</t>
  </si>
  <si>
    <t>Reinsured Amount</t>
  </si>
  <si>
    <r>
      <t>(</t>
    </r>
    <r>
      <rPr>
        <i/>
        <sz val="12"/>
        <color theme="8" tint="-0.499984740745262"/>
        <rFont val="Times New Roman"/>
        <family val="1"/>
      </rPr>
      <t>1.5 points</t>
    </r>
    <r>
      <rPr>
        <sz val="12"/>
        <color theme="8" tint="-0.499984740745262"/>
        <rFont val="Times New Roman"/>
        <family val="1"/>
      </rPr>
      <t>)  Determine the reinsurance premium.  [Using Excel’s Goal Seek function is an acceptable method for determining this amount.]</t>
    </r>
  </si>
  <si>
    <t xml:space="preserve">The reinsurance premium paid by UVW to X-Re results in an ERD of 5%. </t>
  </si>
  <si>
    <t>UVW Direct Losses (millions)</t>
  </si>
  <si>
    <t>years after expiration of agreement</t>
  </si>
  <si>
    <t>Settlement</t>
  </si>
  <si>
    <r>
      <t>·</t>
    </r>
    <r>
      <rPr>
        <sz val="7"/>
        <color theme="8" tint="-0.499984740745262"/>
        <rFont val="Times New Roman"/>
        <family val="1"/>
      </rPr>
      <t xml:space="preserve">       </t>
    </r>
    <r>
      <rPr>
        <sz val="12"/>
        <color theme="8" tint="-0.499984740745262"/>
        <rFont val="Times New Roman"/>
        <family val="1"/>
      </rPr>
      <t>Reinsured losses are assumed to be settled two years after expiration of the agreement.</t>
    </r>
  </si>
  <si>
    <t>UVW participation</t>
  </si>
  <si>
    <r>
      <t>·</t>
    </r>
    <r>
      <rPr>
        <sz val="7"/>
        <color theme="8" tint="-0.499984740745262"/>
        <rFont val="Times New Roman"/>
        <family val="1"/>
      </rPr>
      <t xml:space="preserve">       </t>
    </r>
    <r>
      <rPr>
        <sz val="12"/>
        <color theme="8" tint="-0.499984740745262"/>
        <rFont val="Times New Roman"/>
        <family val="1"/>
      </rPr>
      <t>The reinsurance with X-Re is for 85% of the aggregate loss layer (i.e., partcipation by UVW of 15% in the aggregate excess layer).</t>
    </r>
  </si>
  <si>
    <t>Yield</t>
  </si>
  <si>
    <r>
      <t>·</t>
    </r>
    <r>
      <rPr>
        <sz val="7"/>
        <color theme="8" tint="-0.499984740745262"/>
        <rFont val="Times New Roman"/>
        <family val="1"/>
      </rPr>
      <t xml:space="preserve">       </t>
    </r>
    <r>
      <rPr>
        <sz val="12"/>
        <color theme="8" tint="-0.499984740745262"/>
        <rFont val="Times New Roman"/>
        <family val="1"/>
      </rPr>
      <t>The annual after-tax investment yield is 3.5%.</t>
    </r>
  </si>
  <si>
    <r>
      <t>·</t>
    </r>
    <r>
      <rPr>
        <sz val="7"/>
        <color theme="8" tint="-0.499984740745262"/>
        <rFont val="Times New Roman"/>
        <family val="1"/>
      </rPr>
      <t xml:space="preserve">       </t>
    </r>
    <r>
      <rPr>
        <sz val="12"/>
        <color theme="8" tint="-0.499984740745262"/>
        <rFont val="Times New Roman"/>
        <family val="1"/>
      </rPr>
      <t>The aggregate excess loss layer is 800 million excess of 200 million.</t>
    </r>
  </si>
  <si>
    <t>You are given the following information regarding an annual aggregate excess of loss reinsurance agreement for UVW Insurance by X-Re:</t>
  </si>
  <si>
    <t xml:space="preserve">The ERD measure is derived from the probability distribution of net economic outcomes.  
ERD = pT/P where p = probability of net income loss, T = average severity of net economic loss when it occurs, and P = expected premium. </t>
  </si>
  <si>
    <r>
      <t>(</t>
    </r>
    <r>
      <rPr>
        <i/>
        <sz val="12"/>
        <color theme="8" tint="-0.499984740745262"/>
        <rFont val="Times New Roman"/>
        <family val="1"/>
      </rPr>
      <t>1 point</t>
    </r>
    <r>
      <rPr>
        <sz val="12"/>
        <color theme="8" tint="-0.499984740745262"/>
        <rFont val="Times New Roman"/>
        <family val="1"/>
      </rPr>
      <t>)  Define the expected reinsurer deficit (ERD) metric as used for determining the existence of sufficient risk transfer in a reinsurance agreement.</t>
    </r>
  </si>
  <si>
    <t>It does not capture risk transfer in many valid types of reinsurance, such as those with a high loss amount offsetting a low probability of loss.</t>
  </si>
  <si>
    <r>
      <t>(</t>
    </r>
    <r>
      <rPr>
        <i/>
        <sz val="12"/>
        <color theme="8" tint="-0.499984740745262"/>
        <rFont val="Times New Roman"/>
        <family val="1"/>
      </rPr>
      <t>0.5 points</t>
    </r>
    <r>
      <rPr>
        <sz val="12"/>
        <color theme="8" tint="-0.499984740745262"/>
        <rFont val="Times New Roman"/>
        <family val="1"/>
      </rPr>
      <t>)  Explain why the “10% - 10% rule” is often not considered appropriate for determining the existence of sufficient risk transfer in a reinsurance agreement.</t>
    </r>
  </si>
  <si>
    <r>
      <rPr>
        <b/>
        <i/>
        <sz val="11"/>
        <rFont val="Times New Roman"/>
        <family val="1"/>
      </rPr>
      <t>σ</t>
    </r>
    <r>
      <rPr>
        <b/>
        <vertAlign val="superscript"/>
        <sz val="11"/>
        <rFont val="Times New Roman"/>
        <family val="1"/>
      </rPr>
      <t>2</t>
    </r>
  </si>
  <si>
    <r>
      <t>(</t>
    </r>
    <r>
      <rPr>
        <i/>
        <sz val="12"/>
        <color theme="8" tint="-0.499984740745262"/>
        <rFont val="Times New Roman"/>
        <family val="1"/>
      </rPr>
      <t>1.5 points</t>
    </r>
    <r>
      <rPr>
        <sz val="12"/>
        <color theme="8" tint="-0.499984740745262"/>
        <rFont val="Times New Roman"/>
        <family val="1"/>
      </rPr>
      <t xml:space="preserve">)  Calculate the method of moments estimates for </t>
    </r>
    <r>
      <rPr>
        <i/>
        <sz val="12"/>
        <color theme="8" tint="-0.499984740745262"/>
        <rFont val="Times New Roman"/>
        <family val="1"/>
      </rPr>
      <t xml:space="preserve">μ </t>
    </r>
    <r>
      <rPr>
        <sz val="12"/>
        <color theme="8" tint="-0.499984740745262"/>
        <rFont val="Times New Roman"/>
        <family val="1"/>
      </rPr>
      <t xml:space="preserve">and </t>
    </r>
    <r>
      <rPr>
        <i/>
        <sz val="12"/>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t>
    </r>
  </si>
  <si>
    <t>You decide to approximate aggregate losses with a lognormal distribution.</t>
  </si>
  <si>
    <t>Aggregate Losses 
(billion)</t>
  </si>
  <si>
    <t>Aggregate total</t>
  </si>
  <si>
    <t xml:space="preserve">λ = </t>
  </si>
  <si>
    <t>px^2</t>
  </si>
  <si>
    <t>px</t>
  </si>
  <si>
    <r>
      <t xml:space="preserve">x = loss size in billions (B), p = probability, </t>
    </r>
    <r>
      <rPr>
        <sz val="12"/>
        <color theme="1"/>
        <rFont val="Calibri"/>
        <family val="2"/>
      </rPr>
      <t>λ</t>
    </r>
    <r>
      <rPr>
        <sz val="12"/>
        <color theme="1"/>
        <rFont val="Times New Roman"/>
        <family val="1"/>
      </rPr>
      <t xml:space="preserve"> = Poisson mean for annual # of losses</t>
    </r>
  </si>
  <si>
    <t>CoV = coefficient of variation</t>
  </si>
  <si>
    <r>
      <t>(</t>
    </r>
    <r>
      <rPr>
        <i/>
        <sz val="12"/>
        <color theme="8" tint="-0.499984740745262"/>
        <rFont val="Times New Roman"/>
        <family val="1"/>
      </rPr>
      <t>1.5 points</t>
    </r>
    <r>
      <rPr>
        <sz val="12"/>
        <color theme="8" tint="-0.499984740745262"/>
        <rFont val="Times New Roman"/>
        <family val="1"/>
      </rPr>
      <t>)  Demonstrate that the mean and coefficient of variation of aggregate losses are 2 billion and 1.118, respectively.</t>
    </r>
  </si>
  <si>
    <r>
      <t>(</t>
    </r>
    <r>
      <rPr>
        <i/>
        <sz val="12"/>
        <color theme="8" tint="-0.499984740745262"/>
        <rFont val="Times New Roman"/>
        <family val="1"/>
      </rPr>
      <t>6 points</t>
    </r>
    <r>
      <rPr>
        <sz val="12"/>
        <color theme="8" tint="-0.499984740745262"/>
        <rFont val="Times New Roman"/>
        <family val="1"/>
      </rPr>
      <t>)  You are using a collective risk model to model catastrophe risks.  The annual number of catastrophe losses has a Poisson distribution with mean 1.  The loss size distribution for catastrophes is as follows:</t>
    </r>
  </si>
  <si>
    <t>These appear different enough, so the scale may be considered as imbalanced.</t>
  </si>
  <si>
    <t>Difference (%)</t>
  </si>
  <si>
    <t>Provisional commission</t>
  </si>
  <si>
    <t>If the expected commission is approximately equal to the provisional commission it is balanced.</t>
  </si>
  <si>
    <r>
      <t>(</t>
    </r>
    <r>
      <rPr>
        <i/>
        <sz val="12"/>
        <color rgb="FF002060"/>
        <rFont val="Times New Roman"/>
        <family val="1"/>
      </rPr>
      <t>1 point</t>
    </r>
    <r>
      <rPr>
        <sz val="12"/>
        <color rgb="FF002060"/>
        <rFont val="Times New Roman"/>
        <family val="1"/>
      </rPr>
      <t>)  Assess whether the sliding scale commission is balanced.</t>
    </r>
  </si>
  <si>
    <t>using columns above (K41:L60)</t>
  </si>
  <si>
    <r>
      <t>(</t>
    </r>
    <r>
      <rPr>
        <i/>
        <sz val="12"/>
        <color rgb="FF002060"/>
        <rFont val="Times New Roman"/>
        <family val="1"/>
      </rPr>
      <t>1.5 points</t>
    </r>
    <r>
      <rPr>
        <sz val="12"/>
        <color rgb="FF002060"/>
        <rFont val="Times New Roman"/>
        <family val="1"/>
      </rPr>
      <t>)  Calculate the expected combined ratio.</t>
    </r>
  </si>
  <si>
    <t>at</t>
  </si>
  <si>
    <t xml:space="preserve">Sliding 0.5:1 to maximum </t>
  </si>
  <si>
    <r>
      <t>·</t>
    </r>
    <r>
      <rPr>
        <sz val="7"/>
        <color rgb="FF002060"/>
        <rFont val="Times New Roman"/>
        <family val="1"/>
      </rPr>
      <t xml:space="preserve">       </t>
    </r>
    <r>
      <rPr>
        <sz val="12"/>
        <color rgb="FF002060"/>
        <rFont val="Times New Roman"/>
        <family val="1"/>
      </rPr>
      <t>Commission sliding 0.5:1 to a maximum of 35% at a 40% loss ratio</t>
    </r>
  </si>
  <si>
    <t xml:space="preserve">Sliding 1:1 to </t>
  </si>
  <si>
    <r>
      <t>·</t>
    </r>
    <r>
      <rPr>
        <sz val="7"/>
        <color rgb="FF002060"/>
        <rFont val="Times New Roman"/>
        <family val="1"/>
      </rPr>
      <t> </t>
    </r>
    <r>
      <rPr>
        <sz val="12"/>
        <color rgb="FF002060"/>
        <rFont val="Times New Roman"/>
        <family val="1"/>
      </rPr>
      <t xml:space="preserve">   Commision </t>
    </r>
    <r>
      <rPr>
        <sz val="7"/>
        <color rgb="FF002060"/>
        <rFont val="Times New Roman"/>
        <family val="1"/>
      </rPr>
      <t>s</t>
    </r>
    <r>
      <rPr>
        <sz val="12"/>
        <color rgb="FF002060"/>
        <rFont val="Times New Roman"/>
        <family val="1"/>
      </rPr>
      <t xml:space="preserve">liding 1:1 to 25% at a 60% loss ratio </t>
    </r>
  </si>
  <si>
    <t xml:space="preserve">minimum </t>
  </si>
  <si>
    <r>
      <t>·</t>
    </r>
    <r>
      <rPr>
        <sz val="7"/>
        <color rgb="FF002060"/>
        <rFont val="Times New Roman"/>
        <family val="1"/>
      </rPr>
      <t xml:space="preserve">       </t>
    </r>
    <r>
      <rPr>
        <sz val="12"/>
        <color rgb="FF002060"/>
        <rFont val="Times New Roman"/>
        <family val="1"/>
      </rPr>
      <t xml:space="preserve">Minimum commission is 15% at a 70% loss ratio </t>
    </r>
  </si>
  <si>
    <t xml:space="preserve">provisional </t>
  </si>
  <si>
    <r>
      <t>·</t>
    </r>
    <r>
      <rPr>
        <sz val="7"/>
        <color rgb="FF002060"/>
        <rFont val="Times New Roman"/>
        <family val="1"/>
      </rPr>
      <t xml:space="preserve">       </t>
    </r>
    <r>
      <rPr>
        <sz val="12"/>
        <color rgb="FF002060"/>
        <rFont val="Times New Roman"/>
        <family val="1"/>
      </rPr>
      <t>Provisional commission is 30%</t>
    </r>
  </si>
  <si>
    <r>
      <t xml:space="preserve">You are further considering a sliding scale commission, to apply to loss ratios calculated </t>
    </r>
    <r>
      <rPr>
        <b/>
        <u/>
        <sz val="11"/>
        <color rgb="FF002060"/>
        <rFont val="Times New Roman"/>
        <family val="1"/>
      </rPr>
      <t>after</t>
    </r>
    <r>
      <rPr>
        <sz val="11"/>
        <color rgb="FF002060"/>
        <rFont val="Times New Roman"/>
        <family val="1"/>
      </rPr>
      <t xml:space="preserve"> the loss corridor. 
The sliding scale commission has the following features:</t>
    </r>
  </si>
  <si>
    <t>using columns above (H41:I60)</t>
  </si>
  <si>
    <r>
      <t>(</t>
    </r>
    <r>
      <rPr>
        <i/>
        <sz val="12"/>
        <color rgb="FF002060"/>
        <rFont val="Times New Roman"/>
        <family val="1"/>
      </rPr>
      <t>1 point</t>
    </r>
    <r>
      <rPr>
        <sz val="12"/>
        <color rgb="FF002060"/>
        <rFont val="Times New Roman"/>
        <family val="1"/>
      </rPr>
      <t>)  Calculate the expected loss ratio after the loss corridor.</t>
    </r>
  </si>
  <si>
    <r>
      <rPr>
        <sz val="7"/>
        <color rgb="FF002060"/>
        <rFont val="Times New Roman"/>
        <family val="1"/>
      </rPr>
      <t xml:space="preserve"> </t>
    </r>
    <r>
      <rPr>
        <sz val="12"/>
        <color rgb="FF002060"/>
        <rFont val="Times New Roman"/>
        <family val="1"/>
      </rPr>
      <t>Ceding company will reassume 75% of the losses in the loss ratio layer from 60% to 100%.</t>
    </r>
  </si>
  <si>
    <t xml:space="preserve">You are considering using a loss corridor with the following feature: </t>
  </si>
  <si>
    <t>F(x)</t>
  </si>
  <si>
    <t>CR</t>
  </si>
  <si>
    <t>Using interpolation</t>
  </si>
  <si>
    <t>Corridor</t>
  </si>
  <si>
    <t>Ratio (CR)</t>
  </si>
  <si>
    <t>p(x)</t>
  </si>
  <si>
    <t>Sliding</t>
  </si>
  <si>
    <t xml:space="preserve">Losses in </t>
  </si>
  <si>
    <t>Combined</t>
  </si>
  <si>
    <t>Reins.</t>
  </si>
  <si>
    <t>For Part (c)</t>
  </si>
  <si>
    <t>For Part (b)</t>
  </si>
  <si>
    <r>
      <t>(</t>
    </r>
    <r>
      <rPr>
        <i/>
        <sz val="12"/>
        <color rgb="FF002060"/>
        <rFont val="Times New Roman"/>
        <family val="1"/>
      </rPr>
      <t>1.5 points</t>
    </r>
    <r>
      <rPr>
        <sz val="12"/>
        <color rgb="FF002060"/>
        <rFont val="Times New Roman"/>
        <family val="1"/>
      </rPr>
      <t>)  Calculate the probability of a combined ratio of more than 100%.</t>
    </r>
  </si>
  <si>
    <t xml:space="preserve">Premium </t>
  </si>
  <si>
    <r>
      <t>·</t>
    </r>
    <r>
      <rPr>
        <sz val="7"/>
        <color rgb="FF002060"/>
        <rFont val="Times New Roman"/>
        <family val="1"/>
      </rPr>
      <t xml:space="preserve">       </t>
    </r>
    <r>
      <rPr>
        <sz val="12"/>
        <color rgb="FF002060"/>
        <rFont val="Times New Roman"/>
        <family val="1"/>
      </rPr>
      <t>Treaty Premium is 8,000,000</t>
    </r>
  </si>
  <si>
    <t xml:space="preserve">Other expenses </t>
  </si>
  <si>
    <r>
      <t>·</t>
    </r>
    <r>
      <rPr>
        <sz val="7"/>
        <color rgb="FF002060"/>
        <rFont val="Times New Roman"/>
        <family val="1"/>
      </rPr>
      <t xml:space="preserve">       </t>
    </r>
    <r>
      <rPr>
        <sz val="12"/>
        <color rgb="FF002060"/>
        <rFont val="Times New Roman"/>
        <family val="1"/>
      </rPr>
      <t>Other Expenses are 2%</t>
    </r>
  </si>
  <si>
    <t xml:space="preserve">Brokerage fees </t>
  </si>
  <si>
    <r>
      <t>·</t>
    </r>
    <r>
      <rPr>
        <sz val="7"/>
        <color rgb="FF002060"/>
        <rFont val="Times New Roman"/>
        <family val="1"/>
      </rPr>
      <t xml:space="preserve">       </t>
    </r>
    <r>
      <rPr>
        <sz val="12"/>
        <color rgb="FF002060"/>
        <rFont val="Times New Roman"/>
        <family val="1"/>
      </rPr>
      <t>Brokerage fees are 5%</t>
    </r>
  </si>
  <si>
    <t xml:space="preserve">Ceding comm. </t>
  </si>
  <si>
    <r>
      <t>·</t>
    </r>
    <r>
      <rPr>
        <sz val="7"/>
        <color rgb="FF002060"/>
        <rFont val="Times New Roman"/>
        <family val="1"/>
      </rPr>
      <t xml:space="preserve">       </t>
    </r>
    <r>
      <rPr>
        <sz val="12"/>
        <color rgb="FF002060"/>
        <rFont val="Times New Roman"/>
        <family val="1"/>
      </rPr>
      <t>Ceding commission is 30%</t>
    </r>
  </si>
  <si>
    <t>Cumulative Probability</t>
  </si>
  <si>
    <t>Loss in Millions</t>
  </si>
  <si>
    <r>
      <t>·</t>
    </r>
    <r>
      <rPr>
        <sz val="7"/>
        <color rgb="FF002060"/>
        <rFont val="Times New Roman"/>
        <family val="1"/>
      </rPr>
      <t xml:space="preserve">       </t>
    </r>
    <r>
      <rPr>
        <sz val="12"/>
        <color rgb="FF002060"/>
        <rFont val="Times New Roman"/>
        <family val="1"/>
      </rPr>
      <t>Aggregate loss distribution:</t>
    </r>
  </si>
  <si>
    <r>
      <t>(</t>
    </r>
    <r>
      <rPr>
        <i/>
        <sz val="12"/>
        <color rgb="FF002060"/>
        <rFont val="Times New Roman"/>
        <family val="1"/>
      </rPr>
      <t>5 points</t>
    </r>
    <r>
      <rPr>
        <sz val="12"/>
        <color rgb="FF002060"/>
        <rFont val="Times New Roman"/>
        <family val="1"/>
      </rPr>
      <t xml:space="preserve">)  A reinsurer is pricing a a proportional treaty and is considering various adjustable features to manage profitability. 
</t>
    </r>
  </si>
  <si>
    <t>TEST</t>
  </si>
  <si>
    <t>αRTD=</t>
  </si>
  <si>
    <t xml:space="preserve">RTD = </t>
    <phoneticPr fontId="0" type="noConversion"/>
  </si>
  <si>
    <t>E*(x) =</t>
    <phoneticPr fontId="0" type="noConversion"/>
  </si>
  <si>
    <t xml:space="preserve">E(x) = </t>
    <phoneticPr fontId="0" type="noConversion"/>
  </si>
  <si>
    <t>P*(x)</t>
    <phoneticPr fontId="0" type="noConversion"/>
  </si>
  <si>
    <t>F*(x)</t>
    <phoneticPr fontId="0" type="noConversion"/>
  </si>
  <si>
    <t>F(x)</t>
    <phoneticPr fontId="0" type="noConversion"/>
  </si>
  <si>
    <t>Reinsured Losses (millions)</t>
  </si>
  <si>
    <t xml:space="preserve">α </t>
  </si>
  <si>
    <r>
      <t>(</t>
    </r>
    <r>
      <rPr>
        <i/>
        <sz val="12"/>
        <color rgb="FF002060"/>
        <rFont val="Times New Roman"/>
        <family val="1"/>
      </rPr>
      <t>2.5 points</t>
    </r>
    <r>
      <rPr>
        <sz val="12"/>
        <color rgb="FF002060"/>
        <rFont val="Times New Roman"/>
        <family val="1"/>
      </rPr>
      <t xml:space="preserve">)  Determine whether risk transfer exists in this contract using the Max QP test with </t>
    </r>
    <r>
      <rPr>
        <i/>
        <sz val="12"/>
        <color rgb="FF002060"/>
        <rFont val="Times New Roman"/>
        <family val="1"/>
      </rPr>
      <t>α</t>
    </r>
    <r>
      <rPr>
        <sz val="12"/>
        <color rgb="FF002060"/>
        <rFont val="Times New Roman"/>
        <family val="1"/>
      </rPr>
      <t xml:space="preserve"> equal to 4.</t>
    </r>
  </si>
  <si>
    <t>Reinsurance premium</t>
  </si>
  <si>
    <r>
      <rPr>
        <sz val="12"/>
        <color rgb="FF002060"/>
        <rFont val="Symbol"/>
        <family val="1"/>
        <charset val="2"/>
      </rPr>
      <t>·</t>
    </r>
    <r>
      <rPr>
        <sz val="12"/>
        <color rgb="FF002060"/>
        <rFont val="Times New Roman"/>
        <family val="1"/>
      </rPr>
      <t>     The reinsurance premium is a fixed amount of 48 million payable to the reinsurer at inception of the contract.</t>
    </r>
  </si>
  <si>
    <t>Reinsurance contract</t>
  </si>
  <si>
    <r>
      <rPr>
        <sz val="12"/>
        <color rgb="FF002060"/>
        <rFont val="Symbol"/>
        <family val="1"/>
        <charset val="2"/>
      </rPr>
      <t>·</t>
    </r>
    <r>
      <rPr>
        <sz val="12"/>
        <color rgb="FF002060"/>
        <rFont val="Times New Roman"/>
        <family val="1"/>
      </rPr>
      <t>     A catastrophe excess of loss reinsurance contract for the layer 300 million excess of 400 million.</t>
    </r>
  </si>
  <si>
    <t>Amounts in millions</t>
  </si>
  <si>
    <t>You are to use the Max QP test to determine whether risk transfer exists in a reinsurance contract given the following information:</t>
  </si>
  <si>
    <r>
      <t xml:space="preserve">Another metric used in the testing of risk transfer is right-tailed deviation (RTD). A risk transfer test called maximum qualified premium (Max QP) has been proposed in which the test uses a multiple, </t>
    </r>
    <r>
      <rPr>
        <i/>
        <sz val="12"/>
        <color rgb="FF002060"/>
        <rFont val="Times New Roman"/>
        <family val="1"/>
      </rPr>
      <t>α</t>
    </r>
    <r>
      <rPr>
        <sz val="12"/>
        <color rgb="FF002060"/>
        <rFont val="Times New Roman"/>
        <family val="1"/>
      </rPr>
      <t xml:space="preserve">, of RTD. </t>
    </r>
  </si>
  <si>
    <t>ERD and RCR do not rely on a fixed (arbitrary) selection of a percentile. TVaR and VaR rely on a selection of a percentile.
ERD and RCR capture all capital-destroying loss events, while TVaR and VaR generally do not.</t>
  </si>
  <si>
    <r>
      <t>(</t>
    </r>
    <r>
      <rPr>
        <i/>
        <sz val="12"/>
        <color rgb="FF002060"/>
        <rFont val="Times New Roman"/>
        <family val="1"/>
      </rPr>
      <t>1 point</t>
    </r>
    <r>
      <rPr>
        <sz val="12"/>
        <color rgb="FF002060"/>
        <rFont val="Times New Roman"/>
        <family val="1"/>
      </rPr>
      <t>)  Describe two advantages of using ERD and RCR versus using VaR and TVaR.</t>
    </r>
  </si>
  <si>
    <t>The metrics expected reinsurer deficit (ERD) and risk coverage ratio (RCR) have been presented as being superior to other metrics such as value-at-risk (VaR) or tail value-at-risk (TVaR) for gauging risk transfer.</t>
  </si>
  <si>
    <t xml:space="preserve">• Straight quota share with fixed terms 
• Fixed premium per-risk excess of loss
</t>
  </si>
  <si>
    <r>
      <t>(</t>
    </r>
    <r>
      <rPr>
        <i/>
        <sz val="12"/>
        <color rgb="FF002060"/>
        <rFont val="Times New Roman"/>
        <family val="1"/>
      </rPr>
      <t>0.5 points</t>
    </r>
    <r>
      <rPr>
        <sz val="12"/>
        <color rgb="FF002060"/>
        <rFont val="Times New Roman"/>
        <family val="1"/>
      </rPr>
      <t>)  Describe two examples of contracts where the risk transfer is “reasonably self-evident.”</t>
    </r>
  </si>
  <si>
    <t xml:space="preserve">The rate on line calculation for the counterproposal is in cells O5 to AB29. </t>
  </si>
  <si>
    <t xml:space="preserve">The rate on line for the equivalent traditional risk cover is </t>
  </si>
  <si>
    <t>Increasing the premium to 23 million and the margin to 15% should be acceptable to both parties with a rate on line of just over 10%.</t>
  </si>
  <si>
    <r>
      <t>(e)</t>
    </r>
    <r>
      <rPr>
        <sz val="7"/>
        <color rgb="FF002060"/>
        <rFont val="Times New Roman"/>
        <family val="1"/>
      </rPr>
      <t xml:space="preserve">             </t>
    </r>
    <r>
      <rPr>
        <sz val="12"/>
        <color rgb="FF002060"/>
        <rFont val="Times New Roman"/>
        <family val="1"/>
      </rPr>
      <t>(</t>
    </r>
    <r>
      <rPr>
        <i/>
        <sz val="12"/>
        <color rgb="FF002060"/>
        <rFont val="Times New Roman"/>
        <family val="1"/>
      </rPr>
      <t>2 points</t>
    </r>
    <r>
      <rPr>
        <sz val="12"/>
        <color rgb="FF002060"/>
        <rFont val="Times New Roman"/>
        <family val="1"/>
      </rPr>
      <t xml:space="preserve">)  Construct a counterproposal that should be acceptable to both ABC Re and JKL. Justify your answer. </t>
    </r>
  </si>
  <si>
    <t>ABC Re has concluded that this proposal is not acceptable.</t>
  </si>
  <si>
    <t xml:space="preserve">A catastrophe model indicates that a loss will fully exhaust the limit once every 10 years, and that the probability of a partial loss is negligible.
</t>
  </si>
  <si>
    <r>
      <t>(d)</t>
    </r>
    <r>
      <rPr>
        <sz val="7"/>
        <color rgb="FF002060"/>
        <rFont val="Times New Roman"/>
        <family val="1"/>
      </rPr>
      <t xml:space="preserve">             </t>
    </r>
    <r>
      <rPr>
        <sz val="12"/>
        <color rgb="FF002060"/>
        <rFont val="Times New Roman"/>
        <family val="1"/>
      </rPr>
      <t>(</t>
    </r>
    <r>
      <rPr>
        <i/>
        <sz val="12"/>
        <color rgb="FF002060"/>
        <rFont val="Times New Roman"/>
        <family val="1"/>
      </rPr>
      <t>0.5 points</t>
    </r>
    <r>
      <rPr>
        <sz val="12"/>
        <color rgb="FF002060"/>
        <rFont val="Times New Roman"/>
        <family val="1"/>
      </rPr>
      <t xml:space="preserve">)  Calculate the rate on line for an equivalent traditional risk cover. </t>
    </r>
  </si>
  <si>
    <r>
      <t>(c)</t>
    </r>
    <r>
      <rPr>
        <sz val="7"/>
        <color rgb="FF002060"/>
        <rFont val="Times New Roman"/>
        <family val="1"/>
      </rPr>
      <t xml:space="preserve">             </t>
    </r>
    <r>
      <rPr>
        <sz val="12"/>
        <color rgb="FF002060"/>
        <rFont val="Times New Roman"/>
        <family val="1"/>
      </rPr>
      <t>(</t>
    </r>
    <r>
      <rPr>
        <i/>
        <sz val="12"/>
        <color rgb="FF002060"/>
        <rFont val="Times New Roman"/>
        <family val="1"/>
      </rPr>
      <t>0.5 points</t>
    </r>
    <r>
      <rPr>
        <sz val="12"/>
        <color rgb="FF002060"/>
        <rFont val="Times New Roman"/>
        <family val="1"/>
      </rPr>
      <t xml:space="preserve">)  Calculate the premium for an equivalent traditional risk cover. </t>
    </r>
  </si>
  <si>
    <r>
      <t>(b)</t>
    </r>
    <r>
      <rPr>
        <sz val="7"/>
        <color rgb="FF002060"/>
        <rFont val="Times New Roman"/>
        <family val="1"/>
      </rPr>
      <t xml:space="preserve">             </t>
    </r>
    <r>
      <rPr>
        <sz val="12"/>
        <color rgb="FF002060"/>
        <rFont val="Times New Roman"/>
        <family val="1"/>
      </rPr>
      <t>(</t>
    </r>
    <r>
      <rPr>
        <i/>
        <sz val="12"/>
        <color rgb="FF002060"/>
        <rFont val="Times New Roman"/>
        <family val="1"/>
      </rPr>
      <t>0.5 points</t>
    </r>
    <r>
      <rPr>
        <sz val="12"/>
        <color rgb="FF002060"/>
        <rFont val="Times New Roman"/>
        <family val="1"/>
      </rPr>
      <t xml:space="preserve">)  Calculate the underwriting loss (excluding expenses) to ABC Re if a loss fully exhausts the limit. </t>
    </r>
  </si>
  <si>
    <r>
      <t>(a)</t>
    </r>
    <r>
      <rPr>
        <sz val="7"/>
        <color rgb="FF002060"/>
        <rFont val="Times New Roman"/>
        <family val="1"/>
      </rPr>
      <t xml:space="preserve">             </t>
    </r>
    <r>
      <rPr>
        <sz val="12"/>
        <color rgb="FF002060"/>
        <rFont val="Times New Roman"/>
        <family val="1"/>
      </rPr>
      <t>(</t>
    </r>
    <r>
      <rPr>
        <i/>
        <sz val="12"/>
        <color rgb="FF002060"/>
        <rFont val="Times New Roman"/>
        <family val="1"/>
      </rPr>
      <t>0.5 points</t>
    </r>
    <r>
      <rPr>
        <sz val="12"/>
        <color rgb="FF002060"/>
        <rFont val="Times New Roman"/>
        <family val="1"/>
      </rPr>
      <t xml:space="preserve">)  Calculate the nominal rate on line. </t>
    </r>
  </si>
  <si>
    <t xml:space="preserve"> of (loss + margin – premium)</t>
  </si>
  <si>
    <t>Additional premium</t>
  </si>
  <si>
    <t xml:space="preserve"> of (loss + margin – annual premium)</t>
  </si>
  <si>
    <r>
      <t>·</t>
    </r>
    <r>
      <rPr>
        <sz val="7"/>
        <color rgb="FF002060"/>
        <rFont val="Times New Roman"/>
        <family val="1"/>
      </rPr>
      <t xml:space="preserve">       </t>
    </r>
    <r>
      <rPr>
        <sz val="12"/>
        <color rgb="FF002060"/>
        <rFont val="Times New Roman"/>
        <family val="1"/>
      </rPr>
      <t>Additional Premium: 50% of (Loss + Margin – Annual Premium)</t>
    </r>
  </si>
  <si>
    <t xml:space="preserve"> margin on premium</t>
  </si>
  <si>
    <t xml:space="preserve"> after </t>
  </si>
  <si>
    <t>Profit commission</t>
  </si>
  <si>
    <t xml:space="preserve"> margin on annual premium</t>
  </si>
  <si>
    <r>
      <t>·</t>
    </r>
    <r>
      <rPr>
        <sz val="7"/>
        <color rgb="FF002060"/>
        <rFont val="Times New Roman"/>
        <family val="1"/>
      </rPr>
      <t xml:space="preserve">       </t>
    </r>
    <r>
      <rPr>
        <sz val="12"/>
        <color rgb="FF002060"/>
        <rFont val="Times New Roman"/>
        <family val="1"/>
      </rPr>
      <t>Profit Commission: 80% after 10% margin on Annual Premium</t>
    </r>
  </si>
  <si>
    <t>Occurrence limit</t>
  </si>
  <si>
    <r>
      <t>·</t>
    </r>
    <r>
      <rPr>
        <sz val="7"/>
        <color rgb="FF002060"/>
        <rFont val="Times New Roman"/>
        <family val="1"/>
      </rPr>
      <t xml:space="preserve">       </t>
    </r>
    <r>
      <rPr>
        <sz val="12"/>
        <color rgb="FF002060"/>
        <rFont val="Times New Roman"/>
        <family val="1"/>
      </rPr>
      <t>Occurrence Limit: 150,000,000</t>
    </r>
  </si>
  <si>
    <t>Annual premium</t>
  </si>
  <si>
    <r>
      <t>·</t>
    </r>
    <r>
      <rPr>
        <sz val="7"/>
        <color rgb="FF002060"/>
        <rFont val="Times New Roman"/>
        <family val="1"/>
      </rPr>
      <t xml:space="preserve">       </t>
    </r>
    <r>
      <rPr>
        <sz val="12"/>
        <color rgb="FF002060"/>
        <rFont val="Times New Roman"/>
        <family val="1"/>
      </rPr>
      <t>Annual Premium : 20,000,000</t>
    </r>
  </si>
  <si>
    <r>
      <t>(</t>
    </r>
    <r>
      <rPr>
        <i/>
        <sz val="12"/>
        <color rgb="FF002060"/>
        <rFont val="Times New Roman"/>
        <family val="1"/>
      </rPr>
      <t>4 points</t>
    </r>
    <r>
      <rPr>
        <sz val="12"/>
        <color rgb="FF002060"/>
        <rFont val="Times New Roman"/>
        <family val="1"/>
      </rPr>
      <t xml:space="preserve">)  A reinsurance broker has proposed that ABC Reinsurance Company (ABC Re) provide a finite risk cover without reinstatements to JKL Insurance Company (JKL) with the following terms:
</t>
    </r>
  </si>
  <si>
    <t>increase in the rate.</t>
  </si>
  <si>
    <t>This is an</t>
  </si>
  <si>
    <t>with state Y only.</t>
  </si>
  <si>
    <t>to</t>
  </si>
  <si>
    <t>Excluding state X would increase the loss cost from</t>
  </si>
  <si>
    <r>
      <t>(</t>
    </r>
    <r>
      <rPr>
        <i/>
        <sz val="12"/>
        <color theme="4" tint="-0.499984740745262"/>
        <rFont val="Times New Roman"/>
        <family val="1"/>
      </rPr>
      <t>0.5 points</t>
    </r>
    <r>
      <rPr>
        <sz val="12"/>
        <color theme="4" tint="-0.499984740745262"/>
        <rFont val="Times New Roman"/>
        <family val="1"/>
      </rPr>
      <t xml:space="preserve">)  Explain how excluding state X will affect the loss cost rate for the treaty.  </t>
    </r>
  </si>
  <si>
    <t>TOTAL LOSS COST RATE</t>
  </si>
  <si>
    <t>K</t>
  </si>
  <si>
    <t>J</t>
  </si>
  <si>
    <t>Treaty Losses</t>
  </si>
  <si>
    <t>Diff</t>
  </si>
  <si>
    <t>ELF bot</t>
  </si>
  <si>
    <t>ELF top</t>
  </si>
  <si>
    <t>Hazard</t>
  </si>
  <si>
    <t>Loss Size</t>
  </si>
  <si>
    <r>
      <t>(</t>
    </r>
    <r>
      <rPr>
        <i/>
        <sz val="12"/>
        <color theme="4" tint="-0.499984740745262"/>
        <rFont val="Times New Roman"/>
        <family val="1"/>
      </rPr>
      <t>2.5 points</t>
    </r>
    <r>
      <rPr>
        <sz val="12"/>
        <color theme="4" tint="-0.499984740745262"/>
        <rFont val="Times New Roman"/>
        <family val="1"/>
      </rPr>
      <t>)  Calculate the loss cost rate for the treaty.</t>
    </r>
  </si>
  <si>
    <t>ln(200k/1000k)</t>
  </si>
  <si>
    <t>ln(ELF[200k]/ ELF[1m])</t>
  </si>
  <si>
    <t>ELF[200k]/ELF[1m]</t>
  </si>
  <si>
    <r>
      <t>(</t>
    </r>
    <r>
      <rPr>
        <i/>
        <sz val="12"/>
        <color theme="4" tint="-0.499984740745262"/>
        <rFont val="Times New Roman"/>
        <family val="1"/>
      </rPr>
      <t>1 point</t>
    </r>
    <r>
      <rPr>
        <sz val="12"/>
        <color theme="4" tint="-0.499984740745262"/>
        <rFont val="Times New Roman"/>
        <family val="1"/>
      </rPr>
      <t xml:space="preserve">)  Calculate the values of </t>
    </r>
    <r>
      <rPr>
        <i/>
        <sz val="12"/>
        <color theme="4" tint="-0.499984740745262"/>
        <rFont val="Times New Roman"/>
        <family val="1"/>
      </rPr>
      <t xml:space="preserve">a </t>
    </r>
    <r>
      <rPr>
        <sz val="12"/>
        <color theme="4" tint="-0.499984740745262"/>
        <rFont val="Times New Roman"/>
        <family val="1"/>
      </rPr>
      <t xml:space="preserve">and </t>
    </r>
    <r>
      <rPr>
        <i/>
        <sz val="12"/>
        <color theme="4" tint="-0.499984740745262"/>
        <rFont val="Times New Roman"/>
        <family val="1"/>
      </rPr>
      <t>b</t>
    </r>
    <r>
      <rPr>
        <sz val="12"/>
        <color theme="4" tint="-0.499984740745262"/>
        <rFont val="Times New Roman"/>
        <family val="1"/>
      </rPr>
      <t xml:space="preserve"> for each hazard group.</t>
    </r>
  </si>
  <si>
    <r>
      <t>You approximate the NCCI ELF curves with an inverse power curve of the form ELF</t>
    </r>
    <r>
      <rPr>
        <i/>
        <vertAlign val="subscript"/>
        <sz val="12"/>
        <color theme="4" tint="-0.499984740745262"/>
        <rFont val="Times New Roman"/>
        <family val="1"/>
      </rPr>
      <t>L</t>
    </r>
    <r>
      <rPr>
        <sz val="12"/>
        <color theme="4" tint="-0.499984740745262"/>
        <rFont val="Times New Roman"/>
        <family val="1"/>
      </rPr>
      <t xml:space="preserve"> = </t>
    </r>
    <r>
      <rPr>
        <i/>
        <sz val="12"/>
        <color theme="4" tint="-0.499984740745262"/>
        <rFont val="Times New Roman"/>
        <family val="1"/>
      </rPr>
      <t>aL</t>
    </r>
    <r>
      <rPr>
        <vertAlign val="superscript"/>
        <sz val="12"/>
        <color theme="4" tint="-0.499984740745262"/>
        <rFont val="Times New Roman"/>
        <family val="1"/>
      </rPr>
      <t>-</t>
    </r>
    <r>
      <rPr>
        <i/>
        <vertAlign val="superscript"/>
        <sz val="12"/>
        <color theme="4" tint="-0.499984740745262"/>
        <rFont val="Times New Roman"/>
        <family val="1"/>
      </rPr>
      <t>b</t>
    </r>
    <r>
      <rPr>
        <sz val="12"/>
        <color theme="4" tint="-0.499984740745262"/>
        <rFont val="Times New Roman"/>
        <family val="1"/>
      </rPr>
      <t>.</t>
    </r>
  </si>
  <si>
    <t>Hazard Group K</t>
  </si>
  <si>
    <t>Hazard Group J</t>
  </si>
  <si>
    <t>Both states have the following NCCI excess loss factors (ELF):</t>
  </si>
  <si>
    <r>
      <t>·</t>
    </r>
    <r>
      <rPr>
        <sz val="7"/>
        <color theme="4" tint="-0.499984740745262"/>
        <rFont val="Times New Roman"/>
        <family val="1"/>
      </rPr>
      <t xml:space="preserve">       </t>
    </r>
    <r>
      <rPr>
        <sz val="12"/>
        <color theme="4" tint="-0.499984740745262"/>
        <rFont val="Times New Roman"/>
        <family val="1"/>
      </rPr>
      <t xml:space="preserve">The treaty covers the layer 300,000 excess of 100,000 for losses from two states, X and Y. </t>
    </r>
  </si>
  <si>
    <r>
      <t>(</t>
    </r>
    <r>
      <rPr>
        <i/>
        <sz val="12"/>
        <color rgb="FF002060"/>
        <rFont val="Times New Roman"/>
        <family val="1"/>
      </rPr>
      <t>4 points</t>
    </r>
    <r>
      <rPr>
        <sz val="12"/>
        <color rgb="FF002060"/>
        <rFont val="Times New Roman"/>
        <family val="1"/>
      </rPr>
      <t>)  You are exposure rating a workers compensation treaty.</t>
    </r>
  </si>
  <si>
    <t>Experience rating loss cost 
(% prem)</t>
  </si>
  <si>
    <t>Development Factor</t>
  </si>
  <si>
    <t>Loss in layer</t>
  </si>
  <si>
    <t>Loss above excess</t>
  </si>
  <si>
    <t>Trended Loss + ALAE</t>
  </si>
  <si>
    <t>ALAE Trend</t>
  </si>
  <si>
    <t>Loss Trend</t>
  </si>
  <si>
    <t>• The following accident year development factors are applicable to both loss and ALAE in the layer 800,000 excess of 200,000.</t>
  </si>
  <si>
    <t>ALAE trend</t>
  </si>
  <si>
    <t>• ALAE trend is 10% per year.</t>
  </si>
  <si>
    <t>• Loss trend is 5% per year.</t>
  </si>
  <si>
    <t xml:space="preserve">• ALAE is treated as "Part-of-Loss." </t>
  </si>
  <si>
    <t>Onlevel premium</t>
  </si>
  <si>
    <t>• Onlevel subject premium is 10,000,000 for each year from 2021-2023.</t>
  </si>
  <si>
    <t>• All policy limits throughout the experience period are 1,000,000 and are expected to remain at this level through 2025.</t>
  </si>
  <si>
    <t>• All claims with potential to exceed the treaty attachment point are shown.</t>
  </si>
  <si>
    <t>Loss Experience Evaluated as of December 31, 2023</t>
  </si>
  <si>
    <r>
      <t>(</t>
    </r>
    <r>
      <rPr>
        <i/>
        <sz val="12"/>
        <color rgb="FF002060"/>
        <rFont val="Times New Roman"/>
        <family val="1"/>
      </rPr>
      <t>4 points</t>
    </r>
    <r>
      <rPr>
        <sz val="12"/>
        <color rgb="FF002060"/>
        <rFont val="Times New Roman"/>
        <family val="1"/>
      </rPr>
      <t>)  A reinsurance company is writing a casualty per occurrence excess treaty for accident year 2025 covering the layer 800,000 excess of 200,000.</t>
    </r>
  </si>
  <si>
    <t xml:space="preserve">Premium = </t>
  </si>
  <si>
    <t>Adjusted AAL =</t>
  </si>
  <si>
    <t>Risk load</t>
  </si>
  <si>
    <t>Expense load</t>
  </si>
  <si>
    <t>Discount</t>
  </si>
  <si>
    <t>AAL of account:</t>
  </si>
  <si>
    <t xml:space="preserve">ANSWER: </t>
  </si>
  <si>
    <t xml:space="preserve">(1 point)  Calculate the premium for this other portfolio assuming hurricane shutters are installed on all properties in the portfolio. </t>
  </si>
  <si>
    <t>Management decided to write the portfolio you didn't recommend in part (b).  The risk potential of the portfolio could be reduced by 13.7% if hurricane shutters are installed as a risk mitigation strategy.  The expense load factor is 27%.  The selected risk load is 440.</t>
  </si>
  <si>
    <t>50,000 + 6,000</t>
  </si>
  <si>
    <t>Current Book + Portfolio Y</t>
  </si>
  <si>
    <t>50,000 + 5,000</t>
  </si>
  <si>
    <t>Current Book + Portfolio X</t>
  </si>
  <si>
    <t>Current Book</t>
  </si>
  <si>
    <t>100-Year Probable Maximum Loss (PML)</t>
  </si>
  <si>
    <t>Average Annual Loss (AAL)</t>
  </si>
  <si>
    <t xml:space="preserve">You insure a small book of property portfolios in the state of Florida. You receive two new requests (portfolio X and portfolio Y) for pricing quotes and you decide to add only one of these portfolios to the book. </t>
  </si>
  <si>
    <t xml:space="preserve">Sarasota </t>
  </si>
  <si>
    <t xml:space="preserve">Duval </t>
  </si>
  <si>
    <t xml:space="preserve">Okeechobee </t>
  </si>
  <si>
    <t xml:space="preserve">Orange </t>
  </si>
  <si>
    <t xml:space="preserve">Hillsborough </t>
  </si>
  <si>
    <t xml:space="preserve">Miami-Dade </t>
  </si>
  <si>
    <t xml:space="preserve">Palm Beach </t>
  </si>
  <si>
    <t xml:space="preserve">Broward </t>
  </si>
  <si>
    <t xml:space="preserve">Monroe </t>
  </si>
  <si>
    <t>Hurricane Wind
Premium $ for
207.5K Coverage A Limit</t>
  </si>
  <si>
    <t>Hurricane Wind
Premium Per
1,000 Coverage A</t>
  </si>
  <si>
    <t>Expense Load</t>
  </si>
  <si>
    <t>County</t>
  </si>
  <si>
    <r>
      <t>(</t>
    </r>
    <r>
      <rPr>
        <i/>
        <sz val="12"/>
        <color rgb="FF002060"/>
        <rFont val="Times New Roman"/>
        <family val="1"/>
      </rPr>
      <t>2 points</t>
    </r>
    <r>
      <rPr>
        <sz val="12"/>
        <color rgb="FF002060"/>
        <rFont val="Times New Roman"/>
        <family val="1"/>
      </rPr>
      <t>)  Calculate the hurricane wind premium by county for a 207,500 Coverage A limit.</t>
    </r>
  </si>
  <si>
    <t xml:space="preserve"> - The risk load includes a provision for profit.</t>
  </si>
  <si>
    <t xml:space="preserve"> - The expense load is 27%.</t>
  </si>
  <si>
    <t xml:space="preserve"> - The average Coverage A limit is 207,500.</t>
  </si>
  <si>
    <t>Selected Risk Load (Standard Deviation)</t>
  </si>
  <si>
    <t>Modeled Gross Hurricane Wind Loss Per 1,000 Coverage A</t>
  </si>
  <si>
    <t xml:space="preserve">Premiums cannot be added because this will overstate the risk load due to the fact that the SDs are not additive. The combined perils SD is less than the sum of the SDs for all the perils covered. </t>
  </si>
  <si>
    <t>If ABC wants to cover insured losses in the layer between the  100-year and 500-year PMLs, it must get the combined perils PMLs because PMLs are not additive.</t>
  </si>
  <si>
    <t xml:space="preserve">(1.5 points)  Provide two reasons why Primary should not calculate the total reinsurance premium using the underwriter’s recommendation. </t>
  </si>
  <si>
    <t>Primary is also considering inclusion of the peril flood storm surge (FSS) for its reinsurance coverage.  Primary has separate PMLs, AALs and SDs for FSS but does not have the amounts on a HW, FI and FSS combined basis.  An underwriter has recommended that Primary should calculate the total reinsurance premium by estimating a premium for FSS coverage in the reinsurance layers and then adding it to the premiums estimated in part (c).</t>
  </si>
  <si>
    <t>premium</t>
  </si>
  <si>
    <t>expense load</t>
  </si>
  <si>
    <t>risk load</t>
  </si>
  <si>
    <t>AAL</t>
  </si>
  <si>
    <t>Layer 2</t>
  </si>
  <si>
    <t>Layer 1</t>
  </si>
  <si>
    <t>Amount in 000s</t>
  </si>
  <si>
    <r>
      <t>(</t>
    </r>
    <r>
      <rPr>
        <i/>
        <sz val="12"/>
        <color rgb="FF002060"/>
        <rFont val="Times New Roman"/>
        <family val="1"/>
      </rPr>
      <t>2 points</t>
    </r>
    <r>
      <rPr>
        <sz val="12"/>
        <color rgb="FF002060"/>
        <rFont val="Times New Roman"/>
        <family val="1"/>
      </rPr>
      <t xml:space="preserve">)  Estimate Primary’s reinsurance premium for each layer of coverage. </t>
    </r>
  </si>
  <si>
    <t>Historically, Primary has received reinsurance premium quotes that reflect an expense load of 24% and a risk load equal to the 85% of the SD.</t>
  </si>
  <si>
    <t>Layer 2 losses</t>
  </si>
  <si>
    <t>Layer 1 losses</t>
  </si>
  <si>
    <t>Insured loss total</t>
  </si>
  <si>
    <t xml:space="preserve">to </t>
  </si>
  <si>
    <t xml:space="preserve">Layer 2 losses from </t>
  </si>
  <si>
    <t xml:space="preserve">Layer 1 losses from </t>
  </si>
  <si>
    <r>
      <t>(</t>
    </r>
    <r>
      <rPr>
        <i/>
        <sz val="12"/>
        <color rgb="FF002060"/>
        <rFont val="Times New Roman"/>
        <family val="1"/>
      </rPr>
      <t>1 point</t>
    </r>
    <r>
      <rPr>
        <sz val="12"/>
        <color rgb="FF002060"/>
        <rFont val="Times New Roman"/>
        <family val="1"/>
      </rPr>
      <t>)  Calculate Primary’s reinsurance recoverables from this catastrophic event for each of the two layers.</t>
    </r>
  </si>
  <si>
    <t>Insured losses from peril FI</t>
  </si>
  <si>
    <t>Insured losses from peril HW</t>
  </si>
  <si>
    <t xml:space="preserve">Assume that Primary purchased this reinsurance coverage and then experienced the following losses from a single catastrophic event: </t>
  </si>
  <si>
    <t>for layer 2 (insured losses between the  250-year and 250-year PMLs from these two perils)</t>
  </si>
  <si>
    <t>for layer 1 (insured losses between the  100-year and 250-year PMLs from these two perils)</t>
  </si>
  <si>
    <r>
      <t>(</t>
    </r>
    <r>
      <rPr>
        <i/>
        <sz val="12"/>
        <color rgb="FF002060"/>
        <rFont val="Times New Roman"/>
        <family val="1"/>
      </rPr>
      <t>0.5 points</t>
    </r>
    <r>
      <rPr>
        <sz val="12"/>
        <color rgb="FF002060"/>
        <rFont val="Times New Roman"/>
        <family val="1"/>
      </rPr>
      <t>)  Calculate the probability of reaching an amount of loss that activates reinsurance coverage for each of the reinsurance layers.</t>
    </r>
  </si>
  <si>
    <t xml:space="preserve">250-year to 500-year </t>
  </si>
  <si>
    <t>100-year to 250-year</t>
  </si>
  <si>
    <t>HW and FI Combined</t>
  </si>
  <si>
    <t>FI</t>
  </si>
  <si>
    <t>HW</t>
  </si>
  <si>
    <t>AAL and Standard Deviation (SD) (000s)</t>
  </si>
  <si>
    <t>Statistic</t>
  </si>
  <si>
    <t>Layer (PML basis)</t>
  </si>
  <si>
    <t>Ground up</t>
  </si>
  <si>
    <t>PMLs (000s)</t>
  </si>
  <si>
    <t>Return Period (Years)</t>
  </si>
  <si>
    <t>Loss Basis</t>
  </si>
  <si>
    <t>You are given the following excerpts of catastrophe model output for Primary’s portfolio of insurance policies.</t>
  </si>
  <si>
    <t>·       the second layer covering Primary’s insured losses between the 250-year and 500-year PMLs.</t>
  </si>
  <si>
    <t>·       the first layer covering Primary’s insured losses between the 100-year and 250-year PMLs, and</t>
  </si>
  <si>
    <t>The proposed reinsurance cover is to be provided in two layers:</t>
  </si>
  <si>
    <t xml:space="preserve">Primary Insurance is interested in obtaining per occurrence excess of loss reinsurance for the combined perils of hurricane wind (HW) and flood inland (FI). The reinsurance is to cover Primary’s insured losses between the 100-year and 500-year PMLs from these two perils. </t>
  </si>
  <si>
    <t>Question 17</t>
  </si>
  <si>
    <t>While zipcode B has the higher AAL, the ratio of PML/AAL is 37% higher for zipcode A indicating there is higher loss potential in zip code A.</t>
  </si>
  <si>
    <t>PML/AAL</t>
  </si>
  <si>
    <t>Zip Code</t>
  </si>
  <si>
    <r>
      <t>(</t>
    </r>
    <r>
      <rPr>
        <i/>
        <sz val="12"/>
        <color rgb="FF002060"/>
        <rFont val="Times New Roman"/>
        <family val="1"/>
      </rPr>
      <t>1 point</t>
    </r>
    <r>
      <rPr>
        <sz val="12"/>
        <color rgb="FF002060"/>
        <rFont val="Times New Roman"/>
        <family val="1"/>
      </rPr>
      <t>)  Identify which zip code has the highest potential for loss from hurricane events.  Justify your selection.</t>
    </r>
  </si>
  <si>
    <t>250-year PML</t>
  </si>
  <si>
    <r>
      <t xml:space="preserve">You are given the expected AAL and </t>
    </r>
    <r>
      <rPr>
        <sz val="11"/>
        <color rgb="FF002060"/>
        <rFont val="Times New Roman"/>
        <family val="1"/>
      </rPr>
      <t>Probable Maximum Losses (PML)</t>
    </r>
    <r>
      <rPr>
        <sz val="12"/>
        <color rgb="FF002060"/>
        <rFont val="Times New Roman"/>
        <family val="1"/>
      </rPr>
      <t xml:space="preserve"> for hurricane events for two different zip codes in Florida.</t>
    </r>
  </si>
  <si>
    <t>Because inland counties’ hurricane wind losses are likely to be lower, deductibles tend to be a higher percentage of overall loss.</t>
  </si>
  <si>
    <t xml:space="preserve">Coastal regions experience higher wind speeds and losses are more likely to be severe, so deductibles tend to be a smaller portion of the overall loss. </t>
  </si>
  <si>
    <r>
      <t>(</t>
    </r>
    <r>
      <rPr>
        <i/>
        <sz val="12"/>
        <color rgb="FF002060"/>
        <rFont val="Times New Roman"/>
        <family val="1"/>
      </rPr>
      <t>0.5 points</t>
    </r>
    <r>
      <rPr>
        <sz val="12"/>
        <color rgb="FF002060"/>
        <rFont val="Times New Roman"/>
        <family val="1"/>
      </rPr>
      <t>)  Describe why hurricane deductibles tend to be larger in inland areas compared to coastal regions.</t>
    </r>
  </si>
  <si>
    <t>Hurricane insurance costs can vary significantly by location within a state.</t>
  </si>
  <si>
    <t>Hurricane Wind Cover in Zip-code</t>
  </si>
  <si>
    <t>Hurricane Wind Premium per Coverage A</t>
  </si>
  <si>
    <t>Selected Risk Load:</t>
  </si>
  <si>
    <t>p*L^2 – AAL^2</t>
  </si>
  <si>
    <t>p×L^2</t>
  </si>
  <si>
    <t>Event #</t>
  </si>
  <si>
    <r>
      <t>(</t>
    </r>
    <r>
      <rPr>
        <i/>
        <sz val="12"/>
        <color rgb="FF002060"/>
        <rFont val="Times New Roman"/>
        <family val="1"/>
      </rPr>
      <t>2 points</t>
    </r>
    <r>
      <rPr>
        <sz val="12"/>
        <color rgb="FF002060"/>
        <rFont val="Times New Roman"/>
        <family val="1"/>
      </rPr>
      <t>)  Calculate Hurricane Wind Premium for the average building in the zip code using the method described in the American Academy of Actuaries monograph, Uses of Catastrophe Model Output.</t>
    </r>
  </si>
  <si>
    <r>
      <t>·</t>
    </r>
    <r>
      <rPr>
        <sz val="7"/>
        <color rgb="FF002060"/>
        <rFont val="Times New Roman"/>
        <family val="1"/>
      </rPr>
      <t xml:space="preserve">       </t>
    </r>
    <r>
      <rPr>
        <sz val="12"/>
        <color rgb="FF002060"/>
        <rFont val="Times New Roman"/>
        <family val="1"/>
      </rPr>
      <t xml:space="preserve">The average building coverage limit is </t>
    </r>
  </si>
  <si>
    <r>
      <t>·</t>
    </r>
    <r>
      <rPr>
        <sz val="7"/>
        <color rgb="FF002060"/>
        <rFont val="Times New Roman"/>
        <family val="1"/>
      </rPr>
      <t xml:space="preserve">       </t>
    </r>
    <r>
      <rPr>
        <sz val="12"/>
        <color rgb="FF002060"/>
        <rFont val="Times New Roman"/>
        <family val="1"/>
      </rPr>
      <t xml:space="preserve">The annual expense load is </t>
    </r>
  </si>
  <si>
    <t>AAL:</t>
  </si>
  <si>
    <r>
      <t>(</t>
    </r>
    <r>
      <rPr>
        <i/>
        <sz val="12"/>
        <color rgb="FF002060"/>
        <rFont val="Times New Roman"/>
        <family val="1"/>
      </rPr>
      <t>0.5 points</t>
    </r>
    <r>
      <rPr>
        <sz val="12"/>
        <color rgb="FF002060"/>
        <rFont val="Times New Roman"/>
        <family val="1"/>
      </rPr>
      <t>)  Calculate the expected Average Annual Loss (AAL) per $1,000 of building coverage.</t>
    </r>
  </si>
  <si>
    <r>
      <t>Expected Loss (</t>
    </r>
    <r>
      <rPr>
        <b/>
        <i/>
        <sz val="12"/>
        <color rgb="FF002060"/>
        <rFont val="Times New Roman"/>
        <family val="1"/>
      </rPr>
      <t>L</t>
    </r>
    <r>
      <rPr>
        <b/>
        <sz val="12"/>
        <color rgb="FF002060"/>
        <rFont val="Times New Roman"/>
        <family val="1"/>
      </rPr>
      <t>) Per $1,000 of Building Coverage</t>
    </r>
  </si>
  <si>
    <r>
      <t>Annual Probability of Hurricane (</t>
    </r>
    <r>
      <rPr>
        <b/>
        <i/>
        <sz val="12"/>
        <color rgb="FF002060"/>
        <rFont val="Times New Roman"/>
        <family val="1"/>
      </rPr>
      <t>p</t>
    </r>
    <r>
      <rPr>
        <b/>
        <sz val="12"/>
        <color rgb="FF002060"/>
        <rFont val="Times New Roman"/>
        <family val="1"/>
      </rPr>
      <t>)</t>
    </r>
  </si>
  <si>
    <t>Your catastrophe model produces the following annual probabilities of hurricane events and expected loss for a portfolio of policies in a zip code in Florida:</t>
  </si>
  <si>
    <t>Question 20</t>
  </si>
  <si>
    <t>(* lambda)</t>
  </si>
  <si>
    <t>Y+Yshare</t>
  </si>
  <si>
    <t>X+Xshare</t>
  </si>
  <si>
    <t>Yshare</t>
  </si>
  <si>
    <t>Xshare</t>
  </si>
  <si>
    <t>Cov to share</t>
  </si>
  <si>
    <t>Var(X+Y)</t>
  </si>
  <si>
    <t>Var(Y)</t>
  </si>
  <si>
    <t>Var(X)</t>
  </si>
  <si>
    <t>X+Y</t>
  </si>
  <si>
    <t>p(i)</t>
  </si>
  <si>
    <t>i</t>
  </si>
  <si>
    <t>Loss for Account</t>
  </si>
  <si>
    <t>Event (i)</t>
  </si>
  <si>
    <r>
      <t>(c) (</t>
    </r>
    <r>
      <rPr>
        <i/>
        <sz val="12"/>
        <color theme="8" tint="-0.499984740745262"/>
        <rFont val="Times New Roman"/>
        <family val="1"/>
      </rPr>
      <t>1.5 points</t>
    </r>
    <r>
      <rPr>
        <sz val="12"/>
        <color theme="8" tint="-0.499984740745262"/>
        <rFont val="Times New Roman"/>
        <family val="1"/>
      </rPr>
      <t>)  Calculate the risk load for each account using the Covariance Share method.</t>
    </r>
  </si>
  <si>
    <t xml:space="preserve">The shared covariance of each event will be allocated to each account in proportion to its loss for that event. </t>
  </si>
  <si>
    <t xml:space="preserve">BRC is considering using the Covariance Share method to calculate risk loads.  </t>
  </si>
  <si>
    <t>Risk load for X+Y &lt;&gt; the sum</t>
  </si>
  <si>
    <t>Sum</t>
  </si>
  <si>
    <r>
      <t xml:space="preserve">(b) </t>
    </r>
    <r>
      <rPr>
        <i/>
        <sz val="12"/>
        <color theme="8" tint="-0.499984740745262"/>
        <rFont val="Times New Roman"/>
        <family val="1"/>
      </rPr>
      <t>(0.5 points</t>
    </r>
    <r>
      <rPr>
        <sz val="12"/>
        <color theme="8" tint="-0.499984740745262"/>
        <rFont val="Times New Roman"/>
        <family val="1"/>
      </rPr>
      <t xml:space="preserve">)  Demonstrate that the Marginal Variance method is not renewal additive.   </t>
    </r>
  </si>
  <si>
    <t>Marginal Variance</t>
  </si>
  <si>
    <t>less: variance of other account</t>
  </si>
  <si>
    <t>Total Variance</t>
  </si>
  <si>
    <t>Renewal Risk Load</t>
  </si>
  <si>
    <r>
      <t>(a)         (</t>
    </r>
    <r>
      <rPr>
        <i/>
        <sz val="12"/>
        <color theme="8" tint="-0.499984740745262"/>
        <rFont val="Times New Roman"/>
        <family val="1"/>
      </rPr>
      <t>2 points</t>
    </r>
    <r>
      <rPr>
        <sz val="12"/>
        <color theme="8" tint="-0.499984740745262"/>
        <rFont val="Times New Roman"/>
        <family val="1"/>
      </rPr>
      <t xml:space="preserve">)  Calculate the renewal risk load for each account using the Marginal Variance method. </t>
    </r>
  </si>
  <si>
    <t>• The risk load multiplier, λ, is</t>
  </si>
  <si>
    <r>
      <rPr>
        <i/>
        <sz val="12"/>
        <color theme="8" tint="-0.499984740745262"/>
        <rFont val="Times New Roman"/>
        <family val="1"/>
      </rPr>
      <t>• p(i)</t>
    </r>
    <r>
      <rPr>
        <sz val="12"/>
        <color theme="8" tint="-0.499984740745262"/>
        <rFont val="Times New Roman"/>
        <family val="1"/>
      </rPr>
      <t xml:space="preserve"> represents the probability of Event </t>
    </r>
    <r>
      <rPr>
        <i/>
        <sz val="12"/>
        <color theme="8" tint="-0.499984740745262"/>
        <rFont val="Times New Roman"/>
        <family val="1"/>
      </rPr>
      <t>i</t>
    </r>
    <r>
      <rPr>
        <sz val="12"/>
        <color theme="8" tint="-0.499984740745262"/>
        <rFont val="Times New Roman"/>
        <family val="1"/>
      </rPr>
      <t>.</t>
    </r>
  </si>
  <si>
    <r>
      <t>Event (</t>
    </r>
    <r>
      <rPr>
        <b/>
        <i/>
        <sz val="12"/>
        <color theme="8" tint="-0.499984740745262"/>
        <rFont val="Times New Roman"/>
        <family val="1"/>
      </rPr>
      <t>i</t>
    </r>
    <r>
      <rPr>
        <b/>
        <sz val="12"/>
        <color theme="8" tint="-0.499984740745262"/>
        <rFont val="Times New Roman"/>
        <family val="1"/>
      </rPr>
      <t>)</t>
    </r>
  </si>
  <si>
    <r>
      <t>(</t>
    </r>
    <r>
      <rPr>
        <i/>
        <sz val="12"/>
        <color theme="8" tint="-0.499984740745262"/>
        <rFont val="Times New Roman"/>
        <family val="1"/>
      </rPr>
      <t>4 points</t>
    </r>
    <r>
      <rPr>
        <sz val="12"/>
        <color theme="8" tint="-0.499984740745262"/>
        <rFont val="Times New Roman"/>
        <family val="1"/>
      </rPr>
      <t xml:space="preserve">)  Big Reinsurance Company (BRC) is renewing two accounts, X and Y, each of which is exposed to three independent claim events, 1, 2 and 3.  </t>
    </r>
  </si>
  <si>
    <t>Shapley - Risk Load</t>
  </si>
  <si>
    <t>Shapley value</t>
  </si>
  <si>
    <t>Marginal Variance - Risk Load</t>
  </si>
  <si>
    <t>Change in variance</t>
  </si>
  <si>
    <t>Shapley</t>
  </si>
  <si>
    <r>
      <t>(</t>
    </r>
    <r>
      <rPr>
        <i/>
        <sz val="12"/>
        <color theme="8" tint="-0.499984740745262"/>
        <rFont val="Times New Roman"/>
        <family val="1"/>
      </rPr>
      <t>3.5 points</t>
    </r>
    <r>
      <rPr>
        <sz val="12"/>
        <color theme="8" tint="-0.499984740745262"/>
        <rFont val="Times New Roman"/>
        <family val="1"/>
      </rPr>
      <t>)  Calculate the renewal risk load for each account using the following methods:</t>
    </r>
  </si>
  <si>
    <t xml:space="preserve">The risk load multiplier, λ, is </t>
  </si>
  <si>
    <r>
      <rPr>
        <i/>
        <sz val="12"/>
        <color theme="8" tint="-0.499984740745262"/>
        <rFont val="Times New Roman"/>
        <family val="1"/>
      </rPr>
      <t>p</t>
    </r>
    <r>
      <rPr>
        <sz val="12"/>
        <color theme="8" tint="-0.499984740745262"/>
        <rFont val="Times New Roman"/>
        <family val="1"/>
      </rPr>
      <t>(</t>
    </r>
    <r>
      <rPr>
        <i/>
        <sz val="12"/>
        <color theme="8" tint="-0.499984740745262"/>
        <rFont val="Times New Roman"/>
        <family val="1"/>
      </rPr>
      <t>i</t>
    </r>
    <r>
      <rPr>
        <sz val="12"/>
        <color theme="8" tint="-0.499984740745262"/>
        <rFont val="Times New Roman"/>
        <family val="1"/>
      </rPr>
      <t xml:space="preserve">) represents the probability of Event </t>
    </r>
    <r>
      <rPr>
        <i/>
        <sz val="12"/>
        <color theme="8" tint="-0.499984740745262"/>
        <rFont val="Times New Roman"/>
        <family val="1"/>
      </rPr>
      <t>i</t>
    </r>
    <r>
      <rPr>
        <sz val="12"/>
        <color theme="8" tint="-0.499984740745262"/>
        <rFont val="Times New Roman"/>
        <family val="1"/>
      </rPr>
      <t>.</t>
    </r>
  </si>
  <si>
    <r>
      <t>p</t>
    </r>
    <r>
      <rPr>
        <b/>
        <sz val="12"/>
        <color theme="8" tint="-0.499984740745262"/>
        <rFont val="Times New Roman"/>
        <family val="1"/>
      </rPr>
      <t>(</t>
    </r>
    <r>
      <rPr>
        <b/>
        <i/>
        <sz val="12"/>
        <color theme="8" tint="-0.499984740745262"/>
        <rFont val="Times New Roman"/>
        <family val="1"/>
      </rPr>
      <t>i</t>
    </r>
    <r>
      <rPr>
        <b/>
        <sz val="12"/>
        <color theme="8" tint="-0.499984740745262"/>
        <rFont val="Times New Roman"/>
        <family val="1"/>
      </rPr>
      <t>)</t>
    </r>
  </si>
  <si>
    <t>An insurer is renewing these two accounts, X and Y, each of which is exposed to five independent loss events as follows:</t>
  </si>
  <si>
    <t>Under the Marginal Variance method for calculating risk loads, the risk load for account X on build-up is different from the risk load for account X on renewal.</t>
  </si>
  <si>
    <r>
      <t>(</t>
    </r>
    <r>
      <rPr>
        <i/>
        <sz val="12"/>
        <color theme="8" tint="-0.499984740745262"/>
        <rFont val="Times New Roman"/>
        <family val="1"/>
      </rPr>
      <t>5 points</t>
    </r>
    <r>
      <rPr>
        <sz val="12"/>
        <color theme="8" tint="-0.499984740745262"/>
        <rFont val="Times New Roman"/>
        <family val="1"/>
      </rPr>
      <t xml:space="preserve">)  A risk load can be calculated for an account during build-up and on renewal.  Consider a portfolio with two accounts, an older account X and a newer account Y. </t>
    </r>
  </si>
  <si>
    <t>U</t>
  </si>
  <si>
    <t>Q</t>
  </si>
  <si>
    <t>Cov. Share</t>
  </si>
  <si>
    <t>Risk Load 
for Q+U</t>
  </si>
  <si>
    <t>Covariance Share of Q+U
for Q</t>
  </si>
  <si>
    <r>
      <t>(</t>
    </r>
    <r>
      <rPr>
        <i/>
        <sz val="12"/>
        <color theme="8" tint="-0.499984740745262"/>
        <rFont val="Times New Roman"/>
        <family val="1"/>
      </rPr>
      <t>1.5 points</t>
    </r>
    <r>
      <rPr>
        <sz val="12"/>
        <color theme="8" tint="-0.499984740745262"/>
        <rFont val="Times New Roman"/>
        <family val="1"/>
      </rPr>
      <t>)  Calculate the renewal risk loads for portfolio Q and the portfolio you recommended be added in part (b).</t>
    </r>
  </si>
  <si>
    <t>The company calculates renewal risk loads using the Covariance Share method.</t>
  </si>
  <si>
    <t>Minimum variance is with Q and U, so company should add portfolio U.</t>
  </si>
  <si>
    <t>Q+W</t>
  </si>
  <si>
    <t>Q+V</t>
  </si>
  <si>
    <t>Q+U</t>
  </si>
  <si>
    <t>Risk load is directly proportional to variance, so need to add portfolio that has the minimum variance.</t>
  </si>
  <si>
    <r>
      <t>(</t>
    </r>
    <r>
      <rPr>
        <i/>
        <sz val="12"/>
        <color theme="8" tint="-0.499984740745262"/>
        <rFont val="Times New Roman"/>
        <family val="1"/>
      </rPr>
      <t>1 point</t>
    </r>
    <r>
      <rPr>
        <sz val="12"/>
        <color theme="8" tint="-0.499984740745262"/>
        <rFont val="Times New Roman"/>
        <family val="1"/>
      </rPr>
      <t>)  Recommend which portfolio the reinsurance company should add if it wants to minimize the size of the total risk load.  Justify your answer.</t>
    </r>
  </si>
  <si>
    <t>Expected loss</t>
  </si>
  <si>
    <t>Portfolio W</t>
  </si>
  <si>
    <t>Portfolio V</t>
  </si>
  <si>
    <t>Portfolio U</t>
  </si>
  <si>
    <t xml:space="preserve">Portfolio Q </t>
  </si>
  <si>
    <t>Event</t>
  </si>
  <si>
    <t>Variance calculation</t>
  </si>
  <si>
    <t xml:space="preserve">Loss to </t>
  </si>
  <si>
    <t>Coefficient of variation</t>
  </si>
  <si>
    <r>
      <t>(</t>
    </r>
    <r>
      <rPr>
        <i/>
        <sz val="12"/>
        <color theme="8" tint="-0.499984740745262"/>
        <rFont val="Times New Roman"/>
        <family val="1"/>
      </rPr>
      <t>1.5 points</t>
    </r>
    <r>
      <rPr>
        <sz val="12"/>
        <color theme="8" tint="-0.499984740745262"/>
        <rFont val="Times New Roman"/>
        <family val="1"/>
      </rPr>
      <t>)  Calculate the following for each of the four portfolios:</t>
    </r>
  </si>
  <si>
    <t xml:space="preserve">The MV risk load multiplier, λ, is </t>
  </si>
  <si>
    <t>The company uses the Marginal Variance (MV) method to calculate risk loads.</t>
  </si>
  <si>
    <t>portfolio W</t>
  </si>
  <si>
    <t>portfolio V</t>
  </si>
  <si>
    <t>portfolio U</t>
  </si>
  <si>
    <t xml:space="preserve">portfolio Q </t>
  </si>
  <si>
    <t>Loss to</t>
  </si>
  <si>
    <t>You are given the following information for independent insured events:</t>
  </si>
  <si>
    <r>
      <t>(</t>
    </r>
    <r>
      <rPr>
        <i/>
        <sz val="12"/>
        <color theme="8" tint="-0.499984740745262"/>
        <rFont val="Times New Roman"/>
        <family val="1"/>
      </rPr>
      <t>4 points</t>
    </r>
    <r>
      <rPr>
        <sz val="12"/>
        <color theme="8" tint="-0.499984740745262"/>
        <rFont val="Times New Roman"/>
        <family val="1"/>
      </rPr>
      <t>)  A property catastrophe reinsurance company with a portfolio of business, portfolio Q, is considering writing an additional portfolio of property catastrophe business.  The selection is to be from one of portfolios U, V, or W.</t>
    </r>
  </si>
  <si>
    <t>(ii) and (iii) are renewal additive</t>
  </si>
  <si>
    <t>(i) is not renewal additive</t>
  </si>
  <si>
    <t xml:space="preserve">Therefore: </t>
  </si>
  <si>
    <t>equals the total A and B combined risk load</t>
  </si>
  <si>
    <t>(iii) Cov Share total risk load</t>
  </si>
  <si>
    <t>(ii) Shapley total risk load</t>
  </si>
  <si>
    <t>does not equal the total A and B combined risk load</t>
  </si>
  <si>
    <t>(i) MV total risk load</t>
  </si>
  <si>
    <t>Total risk load A and B combined</t>
  </si>
  <si>
    <r>
      <t>(</t>
    </r>
    <r>
      <rPr>
        <i/>
        <sz val="12"/>
        <color theme="8" tint="-0.499984740745262"/>
        <rFont val="Times New Roman"/>
        <family val="1"/>
      </rPr>
      <t>0.5 points</t>
    </r>
    <r>
      <rPr>
        <sz val="12"/>
        <color theme="8" tint="-0.499984740745262"/>
        <rFont val="Times New Roman"/>
        <family val="1"/>
      </rPr>
      <t>)  Demonstrate for each method in part (b) whether or not the risk load is renewal additive.</t>
    </r>
  </si>
  <si>
    <t>Risk Load</t>
  </si>
  <si>
    <t>Var + Cov to Share</t>
  </si>
  <si>
    <t>(iii) Renewal risk load using Cov. Share</t>
  </si>
  <si>
    <t>B+B Share</t>
  </si>
  <si>
    <t>A+A Share</t>
  </si>
  <si>
    <t>B Share</t>
  </si>
  <si>
    <t>A Share</t>
  </si>
  <si>
    <t>Cov to Share</t>
  </si>
  <si>
    <t>Var(A+B)</t>
  </si>
  <si>
    <t>Var(B)</t>
  </si>
  <si>
    <t>Var(A)</t>
  </si>
  <si>
    <r>
      <t>Event (</t>
    </r>
    <r>
      <rPr>
        <i/>
        <sz val="10"/>
        <rFont val="Calibri"/>
        <family val="2"/>
        <scheme val="minor"/>
      </rPr>
      <t>i</t>
    </r>
    <r>
      <rPr>
        <sz val="10"/>
        <rFont val="Calibri"/>
        <family val="2"/>
        <scheme val="minor"/>
      </rPr>
      <t>)</t>
    </r>
  </si>
  <si>
    <t>For (iii)</t>
  </si>
  <si>
    <t>Shapley Value</t>
  </si>
  <si>
    <t>(ii) Renewal risk load using Shapley</t>
  </si>
  <si>
    <t>Change in Var</t>
  </si>
  <si>
    <t>(i) Renewal risk load using Marginal Variance</t>
  </si>
  <si>
    <t>Covariance Share</t>
  </si>
  <si>
    <r>
      <t>(</t>
    </r>
    <r>
      <rPr>
        <i/>
        <sz val="12"/>
        <color theme="8" tint="-0.499984740745262"/>
        <rFont val="Times New Roman"/>
        <family val="1"/>
      </rPr>
      <t>3 points</t>
    </r>
    <r>
      <rPr>
        <sz val="12"/>
        <color theme="8" tint="-0.499984740745262"/>
        <rFont val="Times New Roman"/>
        <family val="1"/>
      </rPr>
      <t>)  Calculate the renewal risk load by portfolio using each of the following methods:</t>
    </r>
  </si>
  <si>
    <t>(iii) CoV</t>
  </si>
  <si>
    <t>(ii) Var. losses</t>
  </si>
  <si>
    <t>(i) Exp. losses</t>
  </si>
  <si>
    <t>Portfolio A+B</t>
  </si>
  <si>
    <t>Portfolio B</t>
  </si>
  <si>
    <t>Portfolio A</t>
  </si>
  <si>
    <r>
      <rPr>
        <i/>
        <sz val="12"/>
        <rFont val="Calibri"/>
        <family val="2"/>
        <scheme val="minor"/>
      </rPr>
      <t>1-p</t>
    </r>
    <r>
      <rPr>
        <sz val="12"/>
        <rFont val="Calibri"/>
        <family val="2"/>
        <scheme val="minor"/>
      </rPr>
      <t>(</t>
    </r>
    <r>
      <rPr>
        <i/>
        <sz val="12"/>
        <rFont val="Calibri"/>
        <family val="2"/>
        <scheme val="minor"/>
      </rPr>
      <t>i</t>
    </r>
    <r>
      <rPr>
        <sz val="12"/>
        <rFont val="Calibri"/>
        <family val="2"/>
        <scheme val="minor"/>
      </rPr>
      <t>)</t>
    </r>
  </si>
  <si>
    <r>
      <rPr>
        <i/>
        <sz val="12"/>
        <rFont val="Calibri"/>
        <family val="2"/>
        <scheme val="minor"/>
      </rPr>
      <t>p</t>
    </r>
    <r>
      <rPr>
        <sz val="12"/>
        <rFont val="Calibri"/>
        <family val="2"/>
        <scheme val="minor"/>
      </rPr>
      <t>(</t>
    </r>
    <r>
      <rPr>
        <i/>
        <sz val="12"/>
        <rFont val="Calibri"/>
        <family val="2"/>
        <scheme val="minor"/>
      </rPr>
      <t>i</t>
    </r>
    <r>
      <rPr>
        <sz val="12"/>
        <rFont val="Calibri"/>
        <family val="2"/>
        <scheme val="minor"/>
      </rPr>
      <t>)</t>
    </r>
  </si>
  <si>
    <r>
      <t>Event (</t>
    </r>
    <r>
      <rPr>
        <i/>
        <sz val="12"/>
        <rFont val="Calibri"/>
        <family val="2"/>
        <scheme val="minor"/>
      </rPr>
      <t>i</t>
    </r>
    <r>
      <rPr>
        <sz val="12"/>
        <rFont val="Calibri"/>
        <family val="2"/>
        <scheme val="minor"/>
      </rPr>
      <t>)</t>
    </r>
  </si>
  <si>
    <t>Variance of losses</t>
  </si>
  <si>
    <t>Expected losses</t>
  </si>
  <si>
    <r>
      <t>(</t>
    </r>
    <r>
      <rPr>
        <i/>
        <sz val="12"/>
        <color theme="8" tint="-0.499984740745262"/>
        <rFont val="Times New Roman"/>
        <family val="1"/>
      </rPr>
      <t>1.5 points</t>
    </r>
    <r>
      <rPr>
        <sz val="12"/>
        <color theme="8" tint="-0.499984740745262"/>
        <rFont val="Times New Roman"/>
        <family val="1"/>
      </rPr>
      <t>)  Calculate the following for each portfolio and for the two portfolios combined:</t>
    </r>
  </si>
  <si>
    <t xml:space="preserve">•    The risk load multiplier, λ, is </t>
  </si>
  <si>
    <r>
      <t xml:space="preserve">•    </t>
    </r>
    <r>
      <rPr>
        <i/>
        <sz val="12"/>
        <color theme="8" tint="-0.499984740745262"/>
        <rFont val="Times New Roman"/>
        <family val="1"/>
      </rPr>
      <t>p</t>
    </r>
    <r>
      <rPr>
        <sz val="12"/>
        <color theme="8" tint="-0.499984740745262"/>
        <rFont val="Times New Roman"/>
        <family val="1"/>
      </rPr>
      <t>(</t>
    </r>
    <r>
      <rPr>
        <i/>
        <sz val="12"/>
        <color theme="8" tint="-0.499984740745262"/>
        <rFont val="Times New Roman"/>
        <family val="1"/>
      </rPr>
      <t>i</t>
    </r>
    <r>
      <rPr>
        <sz val="12"/>
        <color theme="8" tint="-0.499984740745262"/>
        <rFont val="Times New Roman"/>
        <family val="1"/>
      </rPr>
      <t xml:space="preserve">) represents the probability of event </t>
    </r>
    <r>
      <rPr>
        <i/>
        <sz val="12"/>
        <color theme="8" tint="-0.499984740745262"/>
        <rFont val="Times New Roman"/>
        <family val="1"/>
      </rPr>
      <t>i</t>
    </r>
    <r>
      <rPr>
        <sz val="12"/>
        <color theme="8" tint="-0.499984740745262"/>
        <rFont val="Times New Roman"/>
        <family val="1"/>
      </rPr>
      <t>.</t>
    </r>
  </si>
  <si>
    <r>
      <rPr>
        <b/>
        <i/>
        <sz val="12"/>
        <color theme="8" tint="-0.499984740745262"/>
        <rFont val="Times New Roman"/>
        <family val="1"/>
      </rPr>
      <t>p</t>
    </r>
    <r>
      <rPr>
        <b/>
        <sz val="12"/>
        <color theme="8" tint="-0.499984740745262"/>
        <rFont val="Times New Roman"/>
        <family val="1"/>
      </rPr>
      <t>(</t>
    </r>
    <r>
      <rPr>
        <b/>
        <i/>
        <sz val="12"/>
        <color theme="8" tint="-0.499984740745262"/>
        <rFont val="Times New Roman"/>
        <family val="1"/>
      </rPr>
      <t>i</t>
    </r>
    <r>
      <rPr>
        <b/>
        <sz val="12"/>
        <color theme="8" tint="-0.499984740745262"/>
        <rFont val="Times New Roman"/>
        <family val="1"/>
      </rPr>
      <t>)</t>
    </r>
  </si>
  <si>
    <r>
      <t>(</t>
    </r>
    <r>
      <rPr>
        <i/>
        <sz val="12"/>
        <color theme="8" tint="-0.499984740745262"/>
        <rFont val="Times New Roman"/>
        <family val="1"/>
      </rPr>
      <t>5 points</t>
    </r>
    <r>
      <rPr>
        <sz val="12"/>
        <color theme="8" tint="-0.499984740745262"/>
        <rFont val="Times New Roman"/>
        <family val="1"/>
      </rPr>
      <t>)  An insurer is renewing two portfolios of business, A and B, each of which is exposed to six independent loss events as follows:</t>
    </r>
  </si>
  <si>
    <t>The Shapley method allocates the covariance equally between the accounts while  the Covariance Share method allocates the covariance in proportion to the loss size.</t>
  </si>
  <si>
    <r>
      <t>(</t>
    </r>
    <r>
      <rPr>
        <i/>
        <sz val="12"/>
        <color theme="8" tint="-0.499984740745262"/>
        <rFont val="Times New Roman"/>
        <family val="1"/>
      </rPr>
      <t>0.5 points</t>
    </r>
    <r>
      <rPr>
        <sz val="12"/>
        <color theme="8" tint="-0.499984740745262"/>
        <rFont val="Times New Roman"/>
        <family val="1"/>
      </rPr>
      <t xml:space="preserve">)  Explain how the risk loads calculated using the Covariance Share method would differ from those using the Shapley method. </t>
    </r>
  </si>
  <si>
    <t>JKL is considering using the Covariance Share method to calculate the risk loads instead of the Shapley method.</t>
  </si>
  <si>
    <t>R</t>
  </si>
  <si>
    <t>E(X^2)</t>
  </si>
  <si>
    <t>E(X)</t>
  </si>
  <si>
    <t>Cov(Q,R)</t>
  </si>
  <si>
    <t>W</t>
  </si>
  <si>
    <t>Cov(P,R)</t>
  </si>
  <si>
    <t>V</t>
  </si>
  <si>
    <t>Cov(P,Q)</t>
  </si>
  <si>
    <t>Sum of P,Q,R</t>
  </si>
  <si>
    <t>Sum of Q,R</t>
  </si>
  <si>
    <t>Sum of P,R</t>
  </si>
  <si>
    <t>Sum of P,Q</t>
  </si>
  <si>
    <t>Loss to Treaty R</t>
  </si>
  <si>
    <t>Loss to Treaty Q</t>
  </si>
  <si>
    <t>Loss to Treaty P</t>
  </si>
  <si>
    <r>
      <t>(</t>
    </r>
    <r>
      <rPr>
        <i/>
        <sz val="12"/>
        <color theme="8" tint="-0.499984740745262"/>
        <rFont val="Times New Roman"/>
        <family val="1"/>
      </rPr>
      <t>1 point</t>
    </r>
    <r>
      <rPr>
        <sz val="12"/>
        <color theme="8" tint="-0.499984740745262"/>
        <rFont val="Times New Roman"/>
        <family val="1"/>
      </rPr>
      <t>)  Calculate the renewal risk load for each treaty using the Shapley method.</t>
    </r>
  </si>
  <si>
    <t>less: variance of other accounts</t>
  </si>
  <si>
    <r>
      <t>(</t>
    </r>
    <r>
      <rPr>
        <i/>
        <sz val="12"/>
        <color theme="8" tint="-0.499984740745262"/>
        <rFont val="Times New Roman"/>
        <family val="1"/>
      </rPr>
      <t>1.5 points</t>
    </r>
    <r>
      <rPr>
        <sz val="12"/>
        <color theme="8" tint="-0.499984740745262"/>
        <rFont val="Times New Roman"/>
        <family val="1"/>
      </rPr>
      <t>)  Calculate the renewal risk load for each treaty using the Marginal Variance method.</t>
    </r>
  </si>
  <si>
    <r>
      <t>JKL calculates the risk loads based on variance with a multiplier</t>
    </r>
    <r>
      <rPr>
        <i/>
        <sz val="12"/>
        <color theme="8" tint="-0.499984740745262"/>
        <rFont val="Times New Roman"/>
        <family val="1"/>
      </rPr>
      <t xml:space="preserve"> λ</t>
    </r>
    <r>
      <rPr>
        <sz val="12"/>
        <color theme="8" tint="-0.499984740745262"/>
        <rFont val="Times New Roman"/>
        <family val="1"/>
      </rPr>
      <t xml:space="preserve"> equal to </t>
    </r>
  </si>
  <si>
    <r>
      <t>(</t>
    </r>
    <r>
      <rPr>
        <i/>
        <sz val="12"/>
        <color theme="8" tint="-0.499984740745262"/>
        <rFont val="Times New Roman"/>
        <family val="1"/>
      </rPr>
      <t>3 points</t>
    </r>
    <r>
      <rPr>
        <sz val="12"/>
        <color theme="8" tint="-0.499984740745262"/>
        <rFont val="Times New Roman"/>
        <family val="1"/>
      </rPr>
      <t>)  JKL Reinsurance Company is planning to write three reinsurance treaties covering hurricane claims.  The output from hurricane catastrophe modeling shows that there are six possible scenarios from writing these reinsurance treaties.  You are provided with the following information:</t>
    </r>
  </si>
  <si>
    <t>As such, they are both not renewal additive.</t>
  </si>
  <si>
    <t xml:space="preserve">Neither equals the RL for the combined total of all accounts. </t>
  </si>
  <si>
    <t xml:space="preserve">The sum of the RLs equals 408 under the Marginal Surplus method and 637 under the Marginal Variance method.  </t>
  </si>
  <si>
    <t>For the combined total of all accounts, the RL is 454 under both the Marginal Surplus and Marginal Variance methods.</t>
  </si>
  <si>
    <t>Marginal Var.</t>
  </si>
  <si>
    <t>Marginal Surplus</t>
  </si>
  <si>
    <t>Combined X Y Z</t>
  </si>
  <si>
    <t>Sum over X Y Z</t>
  </si>
  <si>
    <t>Method</t>
  </si>
  <si>
    <r>
      <t>(</t>
    </r>
    <r>
      <rPr>
        <i/>
        <sz val="12"/>
        <color theme="8" tint="-0.499984740745262"/>
        <rFont val="Times New Roman"/>
        <family val="1"/>
      </rPr>
      <t>1 point</t>
    </r>
    <r>
      <rPr>
        <sz val="12"/>
        <color theme="8" tint="-0.499984740745262"/>
        <rFont val="Times New Roman"/>
        <family val="1"/>
      </rPr>
      <t>)  Demonstrate that the renewal risk loads for accounts X, Y and Z, as calculated in both parts (a) and (b), are not renewal additive.</t>
    </r>
  </si>
  <si>
    <t>RL</t>
  </si>
  <si>
    <t>Accounts</t>
  </si>
  <si>
    <t>Risk load multiplier for Marginal Variance method</t>
  </si>
  <si>
    <r>
      <t>(</t>
    </r>
    <r>
      <rPr>
        <i/>
        <sz val="12"/>
        <color theme="8" tint="-0.499984740745262"/>
        <rFont val="Times New Roman"/>
        <family val="1"/>
      </rPr>
      <t>1.5 points</t>
    </r>
    <r>
      <rPr>
        <sz val="12"/>
        <color theme="8" tint="-0.499984740745262"/>
        <rFont val="Times New Roman"/>
        <family val="1"/>
      </rPr>
      <t>)  Calculate the renewal risk loads for each of the three accounts using the Marginal Variance method.</t>
    </r>
  </si>
  <si>
    <t>ABC is considering using the Marginal Variance method to allocate risk loads.  The risk load for the combined portfolio of the three accounts is the same as that calculated using the Marginal Surplus method.</t>
  </si>
  <si>
    <t>Risk Load (RL)</t>
  </si>
  <si>
    <t>Marginal SD</t>
  </si>
  <si>
    <t>Exp. Losses</t>
  </si>
  <si>
    <t>Risk load multiplier for Marginal Surplus method</t>
  </si>
  <si>
    <r>
      <t>(</t>
    </r>
    <r>
      <rPr>
        <i/>
        <sz val="12"/>
        <color theme="8" tint="-0.499984740745262"/>
        <rFont val="Times New Roman"/>
        <family val="1"/>
      </rPr>
      <t>1.5 points</t>
    </r>
    <r>
      <rPr>
        <sz val="12"/>
        <color theme="8" tint="-0.499984740745262"/>
        <rFont val="Times New Roman"/>
        <family val="1"/>
      </rPr>
      <t xml:space="preserve">)  Calculate the renewal risk loads for each of the three accounts (X, Y and Z) using the Marginal Surplus method. </t>
    </r>
  </si>
  <si>
    <t>z-score</t>
  </si>
  <si>
    <r>
      <t>·</t>
    </r>
    <r>
      <rPr>
        <sz val="7"/>
        <color theme="8" tint="-0.499984740745262"/>
        <rFont val="Times New Roman"/>
        <family val="1"/>
      </rPr>
      <t xml:space="preserve">       </t>
    </r>
    <r>
      <rPr>
        <sz val="12"/>
        <color theme="8" tint="-0.499984740745262"/>
        <rFont val="Times New Roman"/>
        <family val="1"/>
      </rPr>
      <t>The required return on marginal surplus is 10% and the z-score is 1.5.</t>
    </r>
  </si>
  <si>
    <t>Return on marginal surplus</t>
  </si>
  <si>
    <r>
      <t>·</t>
    </r>
    <r>
      <rPr>
        <sz val="7"/>
        <color theme="8" tint="-0.499984740745262"/>
        <rFont val="Times New Roman"/>
        <family val="1"/>
      </rPr>
      <t xml:space="preserve">       </t>
    </r>
    <r>
      <rPr>
        <sz val="12"/>
        <color theme="8" tint="-0.499984740745262"/>
        <rFont val="Times New Roman"/>
        <family val="1"/>
      </rPr>
      <t>ABC uses the Marginal Surplus method to calculate risk loads.</t>
    </r>
  </si>
  <si>
    <t>Correlation of Losses Between Accounts</t>
  </si>
  <si>
    <t>Expected Losses</t>
  </si>
  <si>
    <t>Account</t>
  </si>
  <si>
    <r>
      <t>(</t>
    </r>
    <r>
      <rPr>
        <i/>
        <sz val="12"/>
        <color theme="8" tint="-0.499984740745262"/>
        <rFont val="Times New Roman"/>
        <family val="1"/>
      </rPr>
      <t>4 points</t>
    </r>
    <r>
      <rPr>
        <sz val="12"/>
        <color theme="8" tint="-0.499984740745262"/>
        <rFont val="Times New Roman"/>
        <family val="1"/>
      </rPr>
      <t>)  ABC Reinsurance Company has three property catastrophe accounts, X, Y and Z.</t>
    </r>
  </si>
  <si>
    <t>Since they are equal, this proves that the Shapley method is renewal additive</t>
  </si>
  <si>
    <t>Risk load for portfolio X,Y,Z</t>
  </si>
  <si>
    <t>Sum of the risk loads for the three accounts</t>
  </si>
  <si>
    <r>
      <t>(</t>
    </r>
    <r>
      <rPr>
        <i/>
        <sz val="11"/>
        <color rgb="FF002060"/>
        <rFont val="Times New Roman"/>
        <family val="1"/>
      </rPr>
      <t>0.5 points</t>
    </r>
    <r>
      <rPr>
        <sz val="11"/>
        <color rgb="FF002060"/>
        <rFont val="Times New Roman"/>
        <family val="1"/>
      </rPr>
      <t>)  Demonstrate that the Shapley method is renewal additive.</t>
    </r>
  </si>
  <si>
    <t xml:space="preserve">(c) </t>
  </si>
  <si>
    <t>Var, Cov Matrix</t>
  </si>
  <si>
    <r>
      <t>(ii)</t>
    </r>
    <r>
      <rPr>
        <sz val="7"/>
        <color rgb="FF002060"/>
        <rFont val="Times New Roman"/>
        <family val="1"/>
      </rPr>
      <t xml:space="preserve">         </t>
    </r>
    <r>
      <rPr>
        <sz val="11"/>
        <color rgb="FF002060"/>
        <rFont val="Times New Roman"/>
        <family val="1"/>
      </rPr>
      <t>Shapley</t>
    </r>
  </si>
  <si>
    <t>Marginal Var</t>
  </si>
  <si>
    <t>Y+Z</t>
  </si>
  <si>
    <t>X+Z</t>
  </si>
  <si>
    <t>X,Y,Z</t>
  </si>
  <si>
    <r>
      <t>(i)</t>
    </r>
    <r>
      <rPr>
        <sz val="7"/>
        <color rgb="FF002060"/>
        <rFont val="Times New Roman"/>
        <family val="1"/>
      </rPr>
      <t xml:space="preserve">         </t>
    </r>
    <r>
      <rPr>
        <sz val="11"/>
        <color rgb="FF002060"/>
        <rFont val="Times New Roman"/>
        <family val="1"/>
      </rPr>
      <t>Marginal Variance</t>
    </r>
  </si>
  <si>
    <r>
      <t>(</t>
    </r>
    <r>
      <rPr>
        <i/>
        <sz val="11"/>
        <color rgb="FF002060"/>
        <rFont val="Times New Roman"/>
        <family val="1"/>
      </rPr>
      <t>3.5 points</t>
    </r>
    <r>
      <rPr>
        <sz val="11"/>
        <color rgb="FF002060"/>
        <rFont val="Times New Roman"/>
        <family val="1"/>
      </rPr>
      <t>)  Calculate the renewal risk load for each account using the following methods:</t>
    </r>
  </si>
  <si>
    <t xml:space="preserve">(a) </t>
  </si>
  <si>
    <r>
      <t xml:space="preserve">●  The risk load multiplier, </t>
    </r>
    <r>
      <rPr>
        <i/>
        <sz val="12"/>
        <color rgb="FF002060"/>
        <rFont val="Times New Roman"/>
        <family val="1"/>
      </rPr>
      <t>λ</t>
    </r>
    <r>
      <rPr>
        <sz val="12"/>
        <color rgb="FF002060"/>
        <rFont val="Times New Roman"/>
        <family val="1"/>
      </rPr>
      <t>, equals 0.000024.</t>
    </r>
  </si>
  <si>
    <r>
      <t>Risk load multiplier (</t>
    </r>
    <r>
      <rPr>
        <i/>
        <sz val="12"/>
        <color rgb="FF002060"/>
        <rFont val="Times New Roman"/>
        <family val="1"/>
      </rPr>
      <t>λ</t>
    </r>
    <r>
      <rPr>
        <sz val="12"/>
        <color rgb="FF002060"/>
        <rFont val="Times New Roman"/>
        <family val="1"/>
      </rPr>
      <t>)</t>
    </r>
  </si>
  <si>
    <r>
      <rPr>
        <sz val="8"/>
        <color rgb="FF002060"/>
        <rFont val="Calibri"/>
        <family val="2"/>
      </rPr>
      <t xml:space="preserve">● </t>
    </r>
    <r>
      <rPr>
        <sz val="11"/>
        <color rgb="FF002060"/>
        <rFont val="Times New Roman"/>
        <family val="1"/>
      </rPr>
      <t>p(</t>
    </r>
    <r>
      <rPr>
        <i/>
        <sz val="11"/>
        <color rgb="FF002060"/>
        <rFont val="Times New Roman"/>
        <family val="1"/>
      </rPr>
      <t>i</t>
    </r>
    <r>
      <rPr>
        <sz val="11"/>
        <color rgb="FF002060"/>
        <rFont val="Times New Roman"/>
        <family val="1"/>
      </rPr>
      <t>) represents the probability of event</t>
    </r>
    <r>
      <rPr>
        <i/>
        <sz val="11"/>
        <color rgb="FF002060"/>
        <rFont val="Times New Roman"/>
        <family val="1"/>
      </rPr>
      <t xml:space="preserve"> i</t>
    </r>
  </si>
  <si>
    <r>
      <t>p(</t>
    </r>
    <r>
      <rPr>
        <b/>
        <i/>
        <sz val="11"/>
        <color rgb="FF002060"/>
        <rFont val="Times New Roman"/>
        <family val="1"/>
      </rPr>
      <t>i</t>
    </r>
    <r>
      <rPr>
        <b/>
        <sz val="11"/>
        <color rgb="FF002060"/>
        <rFont val="Times New Roman"/>
        <family val="1"/>
      </rPr>
      <t>)</t>
    </r>
  </si>
  <si>
    <r>
      <t>Event (</t>
    </r>
    <r>
      <rPr>
        <b/>
        <i/>
        <sz val="11"/>
        <color rgb="FF002060"/>
        <rFont val="Times New Roman"/>
        <family val="1"/>
      </rPr>
      <t>i</t>
    </r>
    <r>
      <rPr>
        <b/>
        <sz val="11"/>
        <color rgb="FF002060"/>
        <rFont val="Times New Roman"/>
        <family val="1"/>
      </rPr>
      <t>)</t>
    </r>
  </si>
  <si>
    <r>
      <t>(</t>
    </r>
    <r>
      <rPr>
        <i/>
        <sz val="12"/>
        <color rgb="FF002060"/>
        <rFont val="Times New Roman"/>
        <family val="1"/>
      </rPr>
      <t>4 points</t>
    </r>
    <r>
      <rPr>
        <sz val="12"/>
        <color rgb="FF002060"/>
        <rFont val="Times New Roman"/>
        <family val="1"/>
      </rPr>
      <t>)  A reinsurance company is renewing three accounts, X, Y and Z, each of which is exposed to three possible claim events, 1, 2 and 3, which are independent of each other.</t>
    </r>
  </si>
  <si>
    <t>Therfore, it does not have the problem that the Marginal Surplus method has as explained in part (a).</t>
  </si>
  <si>
    <t xml:space="preserve">The sum of premiums across the accounts using the Shapley method is equal to the total portfolio premium. </t>
  </si>
  <si>
    <t>from part (c)</t>
  </si>
  <si>
    <t>Sum of accounts</t>
  </si>
  <si>
    <t>from part (b)</t>
  </si>
  <si>
    <t>Portfolio</t>
  </si>
  <si>
    <r>
      <t>(</t>
    </r>
    <r>
      <rPr>
        <i/>
        <sz val="12"/>
        <color rgb="FF002060"/>
        <rFont val="Times New Roman"/>
        <family val="1"/>
      </rPr>
      <t>0.5 points</t>
    </r>
    <r>
      <rPr>
        <sz val="12"/>
        <color rgb="FF002060"/>
        <rFont val="Times New Roman"/>
        <family val="1"/>
      </rPr>
      <t>)  Demonstrate that the Shapley method does not have the problem identified in part (a).</t>
    </r>
  </si>
  <si>
    <t>BB + CC</t>
  </si>
  <si>
    <t>AA + CC</t>
  </si>
  <si>
    <t>AA + BB</t>
  </si>
  <si>
    <t>Account CC</t>
  </si>
  <si>
    <t>Account BB</t>
  </si>
  <si>
    <t>Account AA</t>
  </si>
  <si>
    <t>BB, CC</t>
  </si>
  <si>
    <t>AA, CC</t>
  </si>
  <si>
    <t>AA, BB</t>
  </si>
  <si>
    <t>Covariance</t>
  </si>
  <si>
    <t>Portfolio Loss</t>
  </si>
  <si>
    <t>Loss to CC</t>
  </si>
  <si>
    <t>Loss to BB</t>
  </si>
  <si>
    <t>Loss to AA</t>
  </si>
  <si>
    <t>Outcome</t>
  </si>
  <si>
    <r>
      <t>(</t>
    </r>
    <r>
      <rPr>
        <i/>
        <sz val="12"/>
        <color rgb="FF002060"/>
        <rFont val="Times New Roman"/>
        <family val="1"/>
      </rPr>
      <t>2.5 points</t>
    </r>
    <r>
      <rPr>
        <sz val="12"/>
        <color rgb="FF002060"/>
        <rFont val="Times New Roman"/>
        <family val="1"/>
      </rPr>
      <t xml:space="preserve">)  Calculate the premium for each account using the Shapley method. </t>
    </r>
  </si>
  <si>
    <r>
      <t>(</t>
    </r>
    <r>
      <rPr>
        <i/>
        <sz val="12"/>
        <color rgb="FF002060"/>
        <rFont val="Times New Roman"/>
        <family val="1"/>
      </rPr>
      <t>1 point</t>
    </r>
    <r>
      <rPr>
        <sz val="12"/>
        <color rgb="FF002060"/>
        <rFont val="Times New Roman"/>
        <family val="1"/>
      </rPr>
      <t xml:space="preserve">)  Calculate the total premium to be received by WXY. </t>
    </r>
  </si>
  <si>
    <t>λ</t>
  </si>
  <si>
    <t>WXY will insure the losses to the accounts at a total premium in which the risk load is the variance of the portfolio times λ, with λ set equal to 0.0001.</t>
  </si>
  <si>
    <t>CC</t>
  </si>
  <si>
    <t>BB</t>
  </si>
  <si>
    <t>AA</t>
  </si>
  <si>
    <t>Loss to Account</t>
  </si>
  <si>
    <t>Each account is exposed to a catastrophic risk that has six possible outcomes as follows:</t>
  </si>
  <si>
    <t xml:space="preserve">WXY decides to use the Shapley Method to calculate premium risk loads. </t>
  </si>
  <si>
    <t>The Marginal Surplus method uses a factor of standard deviation of the risk for the risk load. The square root operator is sub-additive. This means that the sum of the premiums calculated for each of the three accounts will be less than a premium calculated for the three accounts combined.</t>
  </si>
  <si>
    <r>
      <t>(</t>
    </r>
    <r>
      <rPr>
        <i/>
        <sz val="12"/>
        <color rgb="FF002060"/>
        <rFont val="Times New Roman"/>
        <family val="1"/>
      </rPr>
      <t>1 point</t>
    </r>
    <r>
      <rPr>
        <sz val="12"/>
        <color rgb="FF002060"/>
        <rFont val="Times New Roman"/>
        <family val="1"/>
      </rPr>
      <t xml:space="preserve">)  Explain why using a premium risk load based upon the Marginal Surplus method is problematic.  </t>
    </r>
  </si>
  <si>
    <r>
      <t>(</t>
    </r>
    <r>
      <rPr>
        <i/>
        <sz val="12"/>
        <color rgb="FF002060"/>
        <rFont val="Times New Roman"/>
        <family val="1"/>
      </rPr>
      <t>5 points</t>
    </r>
    <r>
      <rPr>
        <sz val="12"/>
        <color rgb="FF002060"/>
        <rFont val="Times New Roman"/>
        <family val="1"/>
      </rPr>
      <t>)   WXY Insurance is quoting catastrophe insurance renewal premiums for three accounts (AA, BB, CC). WXY calculates catastrophe insurance premiums as the expected loss plus a risk load.</t>
    </r>
  </si>
  <si>
    <t>GI 301 - Further Topics in General Insurance</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</si>
  <si>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</si>
  <si>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</si>
  <si>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</si>
  <si>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</si>
  <si>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</si>
  <si>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</si>
  <si>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</si>
  <si>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</si>
  <si>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</si>
  <si>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CURATED PAST EXAM EXCEL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</si>
</sst>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3" formatCode="_(* #,##0.00_);_(* \(#,##0.00\);_(* &quot;-&quot;??_);_(@_)"/>
    <numFmt numFmtId="164" formatCode="0.000"/>
    <numFmt numFmtId="165" formatCode="_(* #,##0.00000_);_(* \(#,##0.00000\);_(* &quot;-&quot;??_);_(@_)"/>
    <numFmt numFmtId="166" formatCode="_(* #,##0_);_(* \(#,##0\);_(* &quot;-&quot;??_);_(@_)"/>
    <numFmt numFmtId="167" formatCode="0.0000000"/>
    <numFmt numFmtId="168" formatCode="0.000000"/>
    <numFmt numFmtId="169" formatCode="0.00000"/>
    <numFmt numFmtId="170" formatCode="#,##0.000"/>
    <numFmt numFmtId="171" formatCode="0.0000"/>
    <numFmt numFmtId="172" formatCode="#,##0.0000"/>
    <numFmt numFmtId="173" formatCode="0.0%"/>
    <numFmt numFmtId="174" formatCode="#,##0.00000"/>
    <numFmt numFmtId="175" formatCode="_(* #,##0.000_);_(* \(#,##0.000\);_(* &quot;-&quot;??_);_(@_)"/>
    <numFmt numFmtId="176" formatCode="_(* #,##0.0_);_(* \(#,##0.0\);_(* &quot;-&quot;??_);_(@_)"/>
    <numFmt numFmtId="177" formatCode="0.0"/>
    <numFmt numFmtId="178" formatCode="_(* #,##0.0000_);_(* \(#,##0.0000\);_(* &quot;-&quot;??_);_(@_)"/>
    <numFmt numFmtId="179" formatCode="#,##0.000_);\(#,##0.000\)"/>
    <numFmt numFmtId="180" formatCode="_-* #,##0.00_-;\-* #,##0.00_-;_-* &quot;-&quot;??_-;_-@_-"/>
    <numFmt numFmtId="181" formatCode="_ * #,##0_ ;_ * \-#,##0_ ;_ * &quot;-&quot;??_ ;_ @_ "/>
    <numFmt numFmtId="182" formatCode="_ * #,##0.0_ ;_ * \-#,##0.0_ ;_ * &quot;-&quot;??_ ;_ @_ "/>
    <numFmt numFmtId="183" formatCode="#,##0_ ;\-#,##0\ "/>
    <numFmt numFmtId="184" formatCode="#;\(#\);\-"/>
    <numFmt numFmtId="185" formatCode="0.000%"/>
    <numFmt numFmtId="186" formatCode="[$-409]mmmm\ d\,\ yyyy;@"/>
    <numFmt numFmtId="187" formatCode="0.00000000"/>
    <numFmt numFmtId="188" formatCode="0.0000%"/>
    <numFmt numFmtId="189" formatCode="#,##0.0"/>
    <numFmt numFmtId="190" formatCode="#,##0.0000_);\(#,##0.0000\)"/>
    <numFmt numFmtId="191" formatCode="#,##0;\(#,##0\);\-"/>
    <numFmt numFmtId="192" formatCode="mmm\.\ d\,\ yyyy"/>
    <numFmt numFmtId="193" formatCode="mmmm\ d\,\ yyyy"/>
    <numFmt numFmtId="194" formatCode="0.000_);\(0.000\)"/>
    <numFmt numFmtId="195" formatCode="[$-409]d\-mmm\-yyyy;@"/>
    <numFmt numFmtId="196" formatCode="0.00000000000000%"/>
    <numFmt numFmtId="197" formatCode="&quot;$&quot;#,##0.00;[Red]\-&quot;$&quot;#,##0.00"/>
    <numFmt numFmtId="198" formatCode="&quot;$&quot;#,##0;[Red]\-&quot;$&quot;#,##0"/>
    <numFmt numFmtId="199" formatCode="&quot;$&quot;#,##0"/>
    <numFmt numFmtId="200" formatCode="0.0E+00"/>
    <numFmt numFmtId="201" formatCode="_-* #,##0.0_-;\-* #,##0.0_-;_-* &quot;-&quot;??_-;_-@_-"/>
    <numFmt numFmtId="202" formatCode="_-* #,##0_-;\-* #,##0_-;_-* &quot;-&quot;??_-;_-@_-"/>
    <numFmt numFmtId="203" formatCode="_-* #,##0.000_-;\-* #,##0.000_-;_-* &quot;-&quot;??_-;_-@_-"/>
    <numFmt numFmtId="204" formatCode="_-* #,##0.0000000_-;\-* #,##0.0000000_-;_-* &quot;-&quot;??_-;_-@_-"/>
    <numFmt numFmtId="205" formatCode="_-* #,##0.00000000_-;\-* #,##0.00000000_-;_-* &quot;-&quot;??_-;_-@_-"/>
  </numFmts>
  <fonts count="18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color theme="1"/>
      <name val="Times New Roman"/>
      <family val="1"/>
    </font>
    <font>
      <sz val="12"/>
      <color theme="8" tint="-0.499984740745262"/>
      <name val="Times New Roman"/>
      <family val="1"/>
    </font>
    <font>
      <i/>
      <sz val="12"/>
      <color theme="8" tint="-0.499984740745262"/>
      <name val="Times New Roman"/>
      <family val="1"/>
    </font>
    <font>
      <b/>
      <i/>
      <sz val="12"/>
      <color theme="8" tint="-0.499984740745262"/>
      <name val="Times New Roman"/>
      <family val="1"/>
    </font>
    <font>
      <vertAlign val="superscript"/>
      <sz val="12"/>
      <color theme="8" tint="-0.499984740745262"/>
      <name val="Times New Roman"/>
      <family val="1"/>
    </font>
    <font>
      <sz val="12"/>
      <color theme="4" tint="-0.499984740745262"/>
      <name val="Times New Roman"/>
      <family val="1"/>
    </font>
    <font>
      <sz val="12"/>
      <color theme="8" tint="-0.499984740745262"/>
      <name val="Calibri"/>
      <family val="2"/>
    </font>
    <font>
      <vertAlign val="subscript"/>
      <sz val="12"/>
      <color theme="8" tint="-0.499984740745262"/>
      <name val="Times New Roman"/>
      <family val="1"/>
    </font>
    <font>
      <i/>
      <sz val="12"/>
      <color theme="8" tint="-0.499984740745262"/>
      <name val="Calibri"/>
      <family val="2"/>
    </font>
    <font>
      <i/>
      <vertAlign val="superscript"/>
      <sz val="12"/>
      <color theme="8" tint="-0.499984740745262"/>
      <name val="Times New Roman"/>
      <family val="1"/>
    </font>
    <font>
      <i/>
      <sz val="12"/>
      <name val="Times New Roman"/>
      <family val="1"/>
    </font>
    <font>
      <i/>
      <vertAlign val="subscript"/>
      <sz val="12"/>
      <name val="Times New Roman"/>
      <family val="1"/>
    </font>
    <font>
      <i/>
      <vertAlign val="superscript"/>
      <sz val="12"/>
      <name val="Times New Roman"/>
      <family val="1"/>
    </font>
    <font>
      <sz val="12"/>
      <name val="Times New Roman"/>
      <family val="1"/>
    </font>
    <font>
      <b/>
      <i/>
      <sz val="12"/>
      <color theme="4" tint="-0.499984740745262"/>
      <name val="Times New Roman"/>
      <family val="1"/>
    </font>
    <font>
      <i/>
      <sz val="12"/>
      <color theme="4" tint="-0.499984740745262"/>
      <name val="Times New Roman"/>
      <family val="1"/>
    </font>
    <font>
      <sz val="12"/>
      <color rgb="FF002060"/>
      <name val="Times New Roman"/>
      <family val="1"/>
    </font>
    <font>
      <b/>
      <sz val="14"/>
      <color rgb="FF002060"/>
      <name val="Times New Roman"/>
      <family val="1"/>
    </font>
    <font>
      <i/>
      <sz val="12"/>
      <color theme="1"/>
      <name val="Times New Roman"/>
      <family val="1"/>
    </font>
    <font>
      <i/>
      <vertAlign val="subscript"/>
      <sz val="12"/>
      <color theme="1"/>
      <name val="Times New Roman"/>
      <family val="1"/>
    </font>
    <font>
      <vertAlign val="superscript"/>
      <sz val="12"/>
      <color theme="1"/>
      <name val="Times New Roman"/>
      <family val="1"/>
    </font>
    <font>
      <b/>
      <sz val="12"/>
      <color theme="8" tint="-0.499984740745262"/>
      <name val="Times New Roman"/>
      <family val="1"/>
    </font>
    <font>
      <i/>
      <sz val="11"/>
      <color theme="1"/>
      <name val="Calibri"/>
      <family val="2"/>
      <scheme val="minor"/>
    </font>
    <font>
      <i/>
      <vertAlign val="subscript"/>
      <sz val="12"/>
      <color theme="8" tint="-0.499984740745262"/>
      <name val="Times New Roman"/>
      <family val="1"/>
    </font>
    <font>
      <b/>
      <sz val="11"/>
      <color theme="1"/>
      <name val="Times New Roman"/>
      <family val="1"/>
    </font>
    <font>
      <sz val="11"/>
      <color theme="1"/>
      <name val="Times New Roman"/>
      <family val="1"/>
    </font>
    <font>
      <sz val="11"/>
      <color theme="8" tint="-0.499984740745262"/>
      <name val="Times New Roman"/>
      <family val="1"/>
    </font>
    <font>
      <sz val="11"/>
      <color theme="8" tint="-0.499984740745262"/>
      <name val="Calibri"/>
      <family val="2"/>
      <scheme val="minor"/>
    </font>
    <font>
      <b/>
      <i/>
      <vertAlign val="superscript"/>
      <sz val="12"/>
      <color theme="8" tint="-0.499984740745262"/>
      <name val="Times New Roman"/>
      <family val="1"/>
    </font>
    <font>
      <vertAlign val="superscript"/>
      <sz val="12"/>
      <color theme="8" tint="-0.499984740745262"/>
      <name val="Calibri"/>
      <family val="2"/>
    </font>
    <font>
      <i/>
      <vertAlign val="superscript"/>
      <sz val="12"/>
      <color theme="8" tint="-0.499984740745262"/>
      <name val="Calibri Light"/>
      <family val="2"/>
    </font>
    <font>
      <vertAlign val="superscript"/>
      <sz val="12"/>
      <color theme="8" tint="-0.499984740745262"/>
      <name val="Calibri Light"/>
      <family val="2"/>
    </font>
    <font>
      <b/>
      <sz val="12"/>
      <color theme="1"/>
      <name val="Times New Roman"/>
      <family val="1"/>
    </font>
    <font>
      <b/>
      <i/>
      <sz val="12"/>
      <name val="Times New Roman"/>
      <family val="1"/>
    </font>
    <font>
      <b/>
      <i/>
      <vertAlign val="superscript"/>
      <sz val="12"/>
      <name val="Times New Roman"/>
      <family val="1"/>
    </font>
    <font>
      <i/>
      <sz val="12"/>
      <color rgb="FF002060"/>
      <name val="Times New Roman"/>
      <family val="1"/>
    </font>
    <font>
      <i/>
      <sz val="11"/>
      <color theme="8" tint="-0.249977111117893"/>
      <name val="Calibri"/>
      <family val="2"/>
      <scheme val="minor"/>
    </font>
    <font>
      <sz val="11"/>
      <name val="Calibri"/>
      <family val="2"/>
      <scheme val="minor"/>
    </font>
    <font>
      <b/>
      <i/>
      <sz val="12"/>
      <color theme="1"/>
      <name val="Times New Roman"/>
      <family val="1"/>
    </font>
    <font>
      <strike/>
      <sz val="11"/>
      <color theme="1"/>
      <name val="Times New Roman"/>
      <family val="1"/>
    </font>
    <font>
      <i/>
      <strike/>
      <sz val="11"/>
      <color theme="1"/>
      <name val="Times New Roman"/>
      <family val="1"/>
    </font>
    <font>
      <strike/>
      <sz val="11"/>
      <color theme="8" tint="-0.499984740745262"/>
      <name val="Times New Roman"/>
      <family val="1"/>
    </font>
    <font>
      <i/>
      <strike/>
      <sz val="11"/>
      <color theme="8" tint="-0.499984740745262"/>
      <name val="Times New Roman"/>
      <family val="1"/>
    </font>
    <font>
      <strike/>
      <sz val="12"/>
      <color theme="1"/>
      <name val="Times New Roman"/>
      <family val="1"/>
    </font>
    <font>
      <strike/>
      <sz val="12"/>
      <color theme="8" tint="-0.499984740745262"/>
      <name val="Times New Roman"/>
      <family val="1"/>
    </font>
    <font>
      <i/>
      <strike/>
      <sz val="12"/>
      <color theme="8" tint="-0.499984740745262"/>
      <name val="Times New Roman"/>
      <family val="1"/>
    </font>
    <font>
      <b/>
      <i/>
      <strike/>
      <sz val="12"/>
      <color theme="8" tint="-0.499984740745262"/>
      <name val="Times New Roman"/>
      <family val="1"/>
    </font>
    <font>
      <i/>
      <strike/>
      <sz val="11"/>
      <color theme="8" tint="-0.249977111117893"/>
      <name val="Times New Roman"/>
      <family val="1"/>
    </font>
    <font>
      <sz val="12"/>
      <color theme="1"/>
      <name val="Calibri"/>
      <family val="2"/>
      <scheme val="minor"/>
    </font>
    <font>
      <b/>
      <sz val="12"/>
      <color theme="1"/>
      <name val="Calibri"/>
      <family val="2"/>
      <scheme val="minor"/>
    </font>
    <font>
      <sz val="12"/>
      <name val="Calibri"/>
      <family val="2"/>
      <scheme val="minor"/>
    </font>
    <font>
      <i/>
      <sz val="12"/>
      <name val="Brush Script MT"/>
      <family val="4"/>
    </font>
    <font>
      <i/>
      <sz val="12"/>
      <name val="Calibri"/>
      <family val="2"/>
      <scheme val="minor"/>
    </font>
    <font>
      <b/>
      <sz val="12"/>
      <name val="Calibri"/>
      <family val="2"/>
      <scheme val="minor"/>
    </font>
    <font>
      <b/>
      <i/>
      <sz val="12"/>
      <name val="Calibri"/>
      <family val="2"/>
      <scheme val="minor"/>
    </font>
    <font>
      <sz val="12"/>
      <color theme="8" tint="-0.499984740745262"/>
      <name val="Script MT Bold"/>
      <family val="4"/>
    </font>
    <font>
      <i/>
      <vertAlign val="superscript"/>
      <sz val="12"/>
      <color theme="8" tint="-0.499984740745262"/>
      <name val="Calibri"/>
      <family val="2"/>
    </font>
    <font>
      <b/>
      <sz val="12"/>
      <color rgb="FF002060"/>
      <name val="Times New Roman"/>
      <family val="1"/>
    </font>
    <font>
      <b/>
      <sz val="12"/>
      <name val="Times New Roman"/>
      <family val="1"/>
    </font>
    <font>
      <b/>
      <i/>
      <sz val="12"/>
      <name val="Script MT Bold"/>
      <family val="4"/>
    </font>
    <font>
      <strike/>
      <sz val="12"/>
      <name val="Times New Roman"/>
      <family val="1"/>
    </font>
    <font>
      <b/>
      <strike/>
      <sz val="12"/>
      <name val="Times New Roman"/>
      <family val="1"/>
    </font>
    <font>
      <strike/>
      <sz val="11"/>
      <name val="Times New Roman"/>
      <family val="1"/>
    </font>
    <font>
      <b/>
      <strike/>
      <sz val="11"/>
      <name val="Times New Roman"/>
      <family val="1"/>
    </font>
    <font>
      <sz val="12"/>
      <color theme="8" tint="-0.499984740745262"/>
      <name val="Times New Roman"/>
      <family val="2"/>
    </font>
    <font>
      <sz val="14"/>
      <color theme="8" tint="-0.499984740745262"/>
      <name val="Times New Roman"/>
      <family val="1"/>
    </font>
    <font>
      <i/>
      <sz val="14"/>
      <color theme="8" tint="-0.499984740745262"/>
      <name val="Times New Roman"/>
      <family val="1"/>
    </font>
    <font>
      <u/>
      <sz val="12"/>
      <color theme="8" tint="-0.499984740745262"/>
      <name val="Times New Roman"/>
      <family val="1"/>
    </font>
    <font>
      <b/>
      <i/>
      <vertAlign val="subscript"/>
      <sz val="12"/>
      <color theme="1"/>
      <name val="Times New Roman"/>
      <family val="1"/>
    </font>
    <font>
      <sz val="13.2"/>
      <color theme="8" tint="-0.499984740745262"/>
      <name val="Times New Roman"/>
      <family val="1"/>
    </font>
    <font>
      <strike/>
      <sz val="11"/>
      <color theme="1"/>
      <name val="Calibri"/>
      <family val="2"/>
      <scheme val="minor"/>
    </font>
    <font>
      <b/>
      <i/>
      <strike/>
      <sz val="12"/>
      <color rgb="FF002060"/>
      <name val="Times New Roman"/>
      <family val="1"/>
    </font>
    <font>
      <strike/>
      <sz val="12"/>
      <color rgb="FF002060"/>
      <name val="Times New Roman"/>
      <family val="1"/>
    </font>
    <font>
      <i/>
      <strike/>
      <sz val="12"/>
      <color rgb="FF002060"/>
      <name val="Times New Roman"/>
      <family val="1"/>
    </font>
    <font>
      <i/>
      <sz val="12"/>
      <color theme="4"/>
      <name val="Times New Roman"/>
      <family val="1"/>
    </font>
    <font>
      <strike/>
      <sz val="12"/>
      <color theme="1"/>
      <name val="Calibri"/>
      <family val="2"/>
      <scheme val="minor"/>
    </font>
    <font>
      <i/>
      <strike/>
      <sz val="11"/>
      <name val="Times New Roman"/>
      <family val="1"/>
    </font>
    <font>
      <strike/>
      <vertAlign val="subscript"/>
      <sz val="12"/>
      <name val="Times New Roman"/>
      <family val="1"/>
    </font>
    <font>
      <b/>
      <i/>
      <sz val="12"/>
      <color rgb="FF002060"/>
      <name val="Times New Roman"/>
      <family val="1"/>
    </font>
    <font>
      <sz val="11"/>
      <color rgb="FF002060"/>
      <name val="Calibri"/>
      <family val="2"/>
      <scheme val="minor"/>
    </font>
    <font>
      <sz val="12"/>
      <color rgb="FF0070C0"/>
      <name val="Times New Roman"/>
      <family val="1"/>
    </font>
    <font>
      <b/>
      <sz val="12"/>
      <color theme="4" tint="-0.499984740745262"/>
      <name val="Times New Roman"/>
      <family val="1"/>
    </font>
    <font>
      <b/>
      <i/>
      <sz val="12"/>
      <color rgb="FF002060"/>
      <name val="Times New Roman"/>
      <family val="1"/>
      <charset val="2"/>
    </font>
    <font>
      <b/>
      <i/>
      <sz val="12"/>
      <color rgb="FF002060"/>
      <name val="Symbol"/>
      <family val="1"/>
      <charset val="2"/>
    </font>
    <font>
      <b/>
      <i/>
      <vertAlign val="superscript"/>
      <sz val="12"/>
      <color rgb="FF002060"/>
      <name val="Times New Roman"/>
      <family val="1"/>
    </font>
    <font>
      <b/>
      <i/>
      <sz val="12"/>
      <color theme="4" tint="-0.499984740745262"/>
      <name val="Symbol"/>
      <family val="1"/>
      <charset val="2"/>
    </font>
    <font>
      <b/>
      <sz val="11"/>
      <name val="Times New Roman"/>
      <family val="1"/>
    </font>
    <font>
      <i/>
      <sz val="12"/>
      <color rgb="FF002060"/>
      <name val="Symbol"/>
      <family val="1"/>
      <charset val="2"/>
    </font>
    <font>
      <vertAlign val="superscript"/>
      <sz val="12"/>
      <color rgb="FF002060"/>
      <name val="Times New Roman"/>
      <family val="1"/>
    </font>
    <font>
      <sz val="11"/>
      <color theme="4" tint="-0.499984740745262"/>
      <name val="Times New Roman"/>
      <family val="1"/>
    </font>
    <font>
      <sz val="12"/>
      <color theme="4" tint="-0.499984740745262"/>
      <name val="Symbol"/>
      <family val="1"/>
      <charset val="2"/>
    </font>
    <font>
      <sz val="7"/>
      <color theme="4" tint="-0.499984740745262"/>
      <name val="Times New Roman"/>
      <family val="1"/>
    </font>
    <font>
      <b/>
      <sz val="10"/>
      <color theme="1"/>
      <name val="Times New Roman"/>
      <family val="1"/>
    </font>
    <font>
      <b/>
      <sz val="10"/>
      <name val="Times New Roman"/>
      <family val="1"/>
    </font>
    <font>
      <b/>
      <sz val="10"/>
      <color rgb="FF002060"/>
      <name val="Times New Roman"/>
      <family val="1"/>
    </font>
    <font>
      <b/>
      <i/>
      <sz val="10"/>
      <color rgb="FF002060"/>
      <name val="Symbol"/>
      <family val="1"/>
      <charset val="2"/>
    </font>
    <font>
      <b/>
      <vertAlign val="superscript"/>
      <sz val="10"/>
      <color rgb="FF002060"/>
      <name val="Times New Roman"/>
      <family val="1"/>
    </font>
    <font>
      <b/>
      <sz val="11"/>
      <color theme="4" tint="-0.499984740745262"/>
      <name val="Times New Roman"/>
      <family val="1"/>
    </font>
    <font>
      <i/>
      <strike/>
      <sz val="12"/>
      <color theme="1"/>
      <name val="Times New Roman"/>
      <family val="1"/>
    </font>
    <font>
      <i/>
      <strike/>
      <sz val="12"/>
      <name val="Times New Roman"/>
      <family val="1"/>
    </font>
    <font>
      <strike/>
      <sz val="12"/>
      <color theme="4" tint="-0.499984740745262"/>
      <name val="Times New Roman"/>
      <family val="1"/>
    </font>
    <font>
      <strike/>
      <sz val="7"/>
      <color theme="4" tint="-0.499984740745262"/>
      <name val="Times New Roman"/>
      <family val="1"/>
    </font>
    <font>
      <i/>
      <strike/>
      <sz val="12"/>
      <color theme="4" tint="-0.499984740745262"/>
      <name val="Times New Roman"/>
      <family val="1"/>
    </font>
    <font>
      <strike/>
      <vertAlign val="superscript"/>
      <sz val="12"/>
      <name val="Times New Roman"/>
      <family val="1"/>
    </font>
    <font>
      <sz val="12"/>
      <color theme="3" tint="-0.249977111117893"/>
      <name val="Times New Roman"/>
      <family val="1"/>
    </font>
    <font>
      <i/>
      <vertAlign val="subscript"/>
      <sz val="12"/>
      <color theme="4" tint="-0.499984740745262"/>
      <name val="Times New Roman"/>
      <family val="1"/>
    </font>
    <font>
      <sz val="11"/>
      <color theme="3" tint="-0.249977111117893"/>
      <name val="Times New Roman"/>
      <family val="1"/>
    </font>
    <font>
      <i/>
      <vertAlign val="subscript"/>
      <sz val="12"/>
      <color rgb="FF002060"/>
      <name val="Times New Roman"/>
      <family val="1"/>
    </font>
    <font>
      <sz val="11"/>
      <name val="Times New Roman"/>
      <family val="1"/>
    </font>
    <font>
      <sz val="12"/>
      <color rgb="FF000000"/>
      <name val="Times New Roman"/>
      <family val="1"/>
    </font>
    <font>
      <i/>
      <sz val="11"/>
      <color rgb="FF376092"/>
      <name val="Calibri"/>
      <family val="2"/>
      <scheme val="minor"/>
    </font>
    <font>
      <sz val="7"/>
      <color theme="8" tint="-0.499984740745262"/>
      <name val="Times New Roman"/>
      <family val="1"/>
    </font>
    <font>
      <b/>
      <vertAlign val="subscript"/>
      <sz val="12"/>
      <color theme="8" tint="-0.499984740745262"/>
      <name val="Times New Roman"/>
      <family val="1"/>
    </font>
    <font>
      <i/>
      <sz val="12"/>
      <color rgb="FFFF0000"/>
      <name val="Times New Roman"/>
      <family val="1"/>
    </font>
    <font>
      <sz val="12"/>
      <color theme="8" tint="-0.499984740745262"/>
      <name val="Symbol"/>
      <family val="1"/>
      <charset val="2"/>
    </font>
    <font>
      <sz val="12"/>
      <color rgb="FF002060"/>
      <name val="Times New Roman"/>
      <family val="1"/>
      <charset val="2"/>
    </font>
    <font>
      <sz val="12"/>
      <color rgb="FF002060"/>
      <name val="Symbol"/>
      <family val="1"/>
      <charset val="2"/>
    </font>
    <font>
      <sz val="12"/>
      <color theme="1"/>
      <name val="Calibri"/>
      <family val="2"/>
    </font>
    <font>
      <sz val="12"/>
      <color rgb="FF002060"/>
      <name val="Calibri"/>
      <family val="2"/>
    </font>
    <font>
      <u/>
      <sz val="12"/>
      <color theme="1"/>
      <name val="Times New Roman"/>
      <family val="1"/>
    </font>
    <font>
      <sz val="7"/>
      <color rgb="FF002060"/>
      <name val="Times New Roman"/>
      <family val="1"/>
    </font>
    <font>
      <i/>
      <sz val="12"/>
      <color rgb="FF0070C0"/>
      <name val="Times New Roman"/>
      <family val="1"/>
    </font>
    <font>
      <b/>
      <i/>
      <sz val="11"/>
      <name val="Calibri"/>
      <family val="2"/>
      <scheme val="minor"/>
    </font>
    <font>
      <sz val="10"/>
      <color theme="1"/>
      <name val="Times New Roman"/>
      <family val="1"/>
    </font>
    <font>
      <sz val="12"/>
      <color rgb="FF002060"/>
      <name val="Times New Roman"/>
      <family val="2"/>
    </font>
    <font>
      <i/>
      <sz val="11"/>
      <color rgb="FF2F5597"/>
      <name val="Times New Roman"/>
      <family val="1"/>
    </font>
    <font>
      <i/>
      <sz val="12"/>
      <color rgb="FF2F5597"/>
      <name val="Times New Roman"/>
      <family val="1"/>
    </font>
    <font>
      <sz val="12"/>
      <color theme="3" tint="0.249977111117893"/>
      <name val="Times New Roman"/>
      <family val="1"/>
    </font>
    <font>
      <i/>
      <sz val="12"/>
      <color theme="3" tint="0.249977111117893"/>
      <name val="Times New Roman"/>
      <family val="1"/>
    </font>
    <font>
      <u/>
      <sz val="12"/>
      <name val="Times New Roman"/>
      <family val="1"/>
    </font>
    <font>
      <i/>
      <sz val="11"/>
      <color theme="3" tint="0.249977111117893"/>
      <name val="Times New Roman"/>
      <family val="1"/>
    </font>
    <font>
      <vertAlign val="subscript"/>
      <sz val="12"/>
      <color theme="1"/>
      <name val="Times New Roman"/>
      <family val="1"/>
    </font>
    <font>
      <sz val="12"/>
      <name val="Calibri"/>
      <family val="2"/>
    </font>
    <font>
      <sz val="12"/>
      <color rgb="FF002060"/>
      <name val="TimesNewRomanPSMT"/>
    </font>
    <font>
      <sz val="12"/>
      <color theme="1"/>
      <name val="Times New Roman"/>
      <family val="2"/>
    </font>
    <font>
      <i/>
      <sz val="12"/>
      <color rgb="FF002060"/>
      <name val="Times New Roman"/>
      <family val="1"/>
      <charset val="2"/>
    </font>
    <font>
      <b/>
      <strike/>
      <sz val="11"/>
      <color theme="1"/>
      <name val="Calibri"/>
      <family val="2"/>
      <scheme val="minor"/>
    </font>
    <font>
      <b/>
      <sz val="11"/>
      <name val="Calibri"/>
      <family val="2"/>
      <scheme val="minor"/>
    </font>
    <font>
      <strike/>
      <sz val="11"/>
      <color rgb="FF002060"/>
      <name val="Calibri"/>
      <family val="2"/>
      <scheme val="minor"/>
    </font>
    <font>
      <strike/>
      <sz val="11"/>
      <color rgb="FF002060"/>
      <name val="Times New Roman"/>
      <family val="1"/>
    </font>
    <font>
      <strike/>
      <sz val="7"/>
      <color rgb="FF002060"/>
      <name val="Times New Roman"/>
      <family val="1"/>
    </font>
    <font>
      <sz val="11"/>
      <color rgb="FF002060"/>
      <name val="Times New Roman"/>
      <family val="1"/>
    </font>
    <font>
      <b/>
      <sz val="11"/>
      <color rgb="FF002060"/>
      <name val="Times New Roman"/>
      <family val="1"/>
    </font>
    <font>
      <b/>
      <i/>
      <sz val="12"/>
      <color rgb="FFFF0000"/>
      <name val="Times New Roman"/>
      <family val="1"/>
    </font>
    <font>
      <i/>
      <sz val="12"/>
      <color rgb="FF376092"/>
      <name val="Times New Roman"/>
      <family val="1"/>
    </font>
    <font>
      <sz val="12"/>
      <color rgb="FF376092"/>
      <name val="Times New Roman"/>
      <family val="1"/>
    </font>
    <font>
      <i/>
      <sz val="12"/>
      <color theme="4" tint="-0.249977111117893"/>
      <name val="Times New Roman"/>
      <family val="1"/>
    </font>
    <font>
      <sz val="12"/>
      <color rgb="FFFF0000"/>
      <name val="Times New Roman"/>
      <family val="1"/>
    </font>
    <font>
      <i/>
      <sz val="11"/>
      <color theme="1"/>
      <name val="Times New Roman"/>
      <family val="1"/>
    </font>
    <font>
      <b/>
      <sz val="11"/>
      <color theme="8" tint="-0.499984740745262"/>
      <name val="Times New Roman"/>
      <family val="1"/>
    </font>
    <font>
      <sz val="12"/>
      <color theme="1"/>
      <name val="Symbol"/>
      <family val="1"/>
      <charset val="2"/>
    </font>
    <font>
      <sz val="11"/>
      <color theme="4" tint="-0.249977111117893"/>
      <name val="Times New Roman"/>
      <family val="1"/>
    </font>
    <font>
      <sz val="12"/>
      <name val="Times New Roman"/>
      <family val="1"/>
      <charset val="2"/>
    </font>
    <font>
      <sz val="12"/>
      <name val="Symbol"/>
      <family val="1"/>
      <charset val="2"/>
    </font>
    <font>
      <b/>
      <i/>
      <sz val="12"/>
      <color rgb="FFC00000"/>
      <name val="Times New Roman"/>
      <family val="1"/>
    </font>
    <font>
      <i/>
      <sz val="10"/>
      <color theme="1"/>
      <name val="Times New Roman"/>
      <family val="1"/>
    </font>
    <font>
      <sz val="9"/>
      <name val="Times New Roman"/>
      <family val="1"/>
    </font>
    <font>
      <i/>
      <sz val="11"/>
      <color rgb="FF0070C0"/>
      <name val="Calibri"/>
      <family val="2"/>
      <scheme val="minor"/>
    </font>
    <font>
      <i/>
      <sz val="11"/>
      <color theme="5" tint="-0.249977111117893"/>
      <name val="Calibri"/>
      <family val="2"/>
      <scheme val="minor"/>
    </font>
    <font>
      <sz val="11"/>
      <color rgb="FF0070C0"/>
      <name val="Calibri"/>
      <family val="2"/>
      <scheme val="minor"/>
    </font>
    <font>
      <i/>
      <sz val="11"/>
      <name val="Calibri"/>
      <family val="2"/>
      <scheme val="minor"/>
    </font>
    <font>
      <i/>
      <sz val="11"/>
      <color theme="8"/>
      <name val="Calibri"/>
      <family val="2"/>
      <scheme val="minor"/>
    </font>
    <font>
      <b/>
      <i/>
      <sz val="11"/>
      <name val="Times New Roman"/>
      <family val="1"/>
    </font>
    <font>
      <b/>
      <vertAlign val="superscript"/>
      <sz val="11"/>
      <name val="Times New Roman"/>
      <family val="1"/>
    </font>
    <font>
      <b/>
      <u/>
      <sz val="11"/>
      <color rgb="FF002060"/>
      <name val="Times New Roman"/>
      <family val="1"/>
    </font>
    <font>
      <sz val="11"/>
      <color theme="4" tint="-0.499984740745262"/>
      <name val="Calibri"/>
      <family val="2"/>
      <scheme val="minor"/>
    </font>
    <font>
      <vertAlign val="superscript"/>
      <sz val="12"/>
      <color theme="4" tint="-0.499984740745262"/>
      <name val="Times New Roman"/>
      <family val="1"/>
    </font>
    <font>
      <i/>
      <vertAlign val="superscript"/>
      <sz val="12"/>
      <color theme="4" tint="-0.499984740745262"/>
      <name val="Times New Roman"/>
      <family val="1"/>
    </font>
    <font>
      <sz val="9"/>
      <color theme="1"/>
      <name val="Calibri"/>
      <family val="2"/>
      <scheme val="minor"/>
    </font>
    <font>
      <sz val="10"/>
      <color theme="1"/>
      <name val="Calibri"/>
      <family val="2"/>
      <scheme val="minor"/>
    </font>
    <font>
      <sz val="10"/>
      <name val="Calibri"/>
      <family val="2"/>
      <scheme val="minor"/>
    </font>
    <font>
      <i/>
      <sz val="10"/>
      <name val="Calibri"/>
      <family val="2"/>
      <scheme val="minor"/>
    </font>
    <font>
      <i/>
      <sz val="10"/>
      <color rgb="FF376092"/>
      <name val="Calibri"/>
      <family val="2"/>
      <scheme val="minor"/>
    </font>
    <font>
      <b/>
      <sz val="10"/>
      <color theme="1"/>
      <name val="Calibri"/>
      <family val="2"/>
      <scheme val="minor"/>
    </font>
    <font>
      <sz val="10"/>
      <color rgb="FFC00000"/>
      <name val="Times New Roman"/>
      <family val="1"/>
    </font>
    <font>
      <i/>
      <sz val="12"/>
      <color rgb="FF376092"/>
      <name val="Calibri"/>
      <family val="2"/>
      <scheme val="minor"/>
    </font>
    <font>
      <i/>
      <sz val="11"/>
      <color rgb="FF002060"/>
      <name val="Times New Roman"/>
      <family val="1"/>
    </font>
    <font>
      <sz val="11"/>
      <color rgb="FF002060"/>
      <name val="Times New Roman"/>
      <family val="2"/>
    </font>
    <font>
      <sz val="8"/>
      <color rgb="FF002060"/>
      <name val="Calibri"/>
      <family val="2"/>
    </font>
    <font>
      <b/>
      <i/>
      <sz val="11"/>
      <color rgb="FF002060"/>
      <name val="Times New Roman"/>
      <family val="1"/>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u/>
      <sz val="11"/>
      <color theme="1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gray0625">
        <bgColor theme="0" tint="-4.9989318521683403E-2"/>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89999084444715716"/>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80" fontId="1" fillId="0" borderId="0" applyFont="0" applyFill="0" applyBorder="0" applyAlignment="0" applyProtection="0"/>
    <xf numFmtId="0" fontId="1" fillId="0" borderId="0"/>
    <xf numFmtId="0" fontId="188" fillId="0" borderId="0" applyNumberFormat="0" applyFill="0" applyBorder="0" applyAlignment="0" applyProtection="0"/>
  </cellStyleXfs>
  <cellXfs count="1960">
    <xf numFmtId="0" fontId="0" fillId="0" borderId="0" xfId="0"/>
    <xf numFmtId="0" fontId="4" fillId="0" borderId="0" xfId="0" applyFont="1"/>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5" fillId="2" borderId="1" xfId="0" applyFont="1" applyFill="1" applyBorder="1"/>
    <xf numFmtId="0" fontId="6" fillId="2" borderId="1" xfId="0" applyFont="1" applyFill="1" applyBorder="1"/>
    <xf numFmtId="0" fontId="9" fillId="2" borderId="0" xfId="0" applyFont="1" applyFill="1"/>
    <xf numFmtId="0" fontId="4" fillId="0" borderId="1" xfId="0" applyFont="1" applyBorder="1"/>
    <xf numFmtId="3" fontId="5" fillId="2" borderId="1" xfId="0" applyNumberFormat="1" applyFont="1" applyFill="1" applyBorder="1"/>
    <xf numFmtId="0" fontId="5" fillId="2" borderId="1" xfId="0" applyFont="1" applyFill="1" applyBorder="1" applyAlignment="1">
      <alignment horizontal="center"/>
    </xf>
    <xf numFmtId="3" fontId="5" fillId="2" borderId="1" xfId="0" applyNumberFormat="1" applyFont="1" applyFill="1" applyBorder="1" applyAlignment="1">
      <alignment horizontal="right"/>
    </xf>
    <xf numFmtId="3" fontId="5" fillId="2" borderId="1" xfId="0" applyNumberFormat="1" applyFont="1" applyFill="1" applyBorder="1" applyAlignment="1">
      <alignment horizontal="center"/>
    </xf>
    <xf numFmtId="0" fontId="4" fillId="0" borderId="0" xfId="0" applyFont="1" applyAlignment="1">
      <alignment wrapText="1"/>
    </xf>
    <xf numFmtId="0" fontId="14" fillId="2" borderId="1" xfId="0" applyFont="1" applyFill="1" applyBorder="1" applyAlignment="1">
      <alignment horizontal="center" wrapText="1"/>
    </xf>
    <xf numFmtId="0" fontId="14" fillId="2" borderId="1" xfId="0" applyFont="1" applyFill="1" applyBorder="1" applyAlignment="1">
      <alignment horizontal="center"/>
    </xf>
    <xf numFmtId="0" fontId="14" fillId="2" borderId="1" xfId="0" applyFont="1" applyFill="1" applyBorder="1" applyAlignment="1">
      <alignment horizontal="center" vertical="center" wrapText="1"/>
    </xf>
    <xf numFmtId="0" fontId="5" fillId="2" borderId="1" xfId="0" applyFont="1" applyFill="1" applyBorder="1" applyAlignment="1">
      <alignment horizontal="center" wrapText="1"/>
    </xf>
    <xf numFmtId="0" fontId="18" fillId="2" borderId="0" xfId="0" applyFont="1" applyFill="1"/>
    <xf numFmtId="0" fontId="19" fillId="2" borderId="0" xfId="0" applyFont="1" applyFill="1"/>
    <xf numFmtId="0" fontId="5" fillId="2" borderId="0" xfId="0" applyFont="1" applyFill="1" applyAlignment="1">
      <alignment vertical="center"/>
    </xf>
    <xf numFmtId="0" fontId="20" fillId="2" borderId="0" xfId="0" applyFont="1" applyFill="1"/>
    <xf numFmtId="0" fontId="21" fillId="2" borderId="0" xfId="0" applyFont="1" applyFill="1"/>
    <xf numFmtId="3" fontId="5" fillId="3" borderId="1" xfId="0" applyNumberFormat="1" applyFont="1" applyFill="1" applyBorder="1"/>
    <xf numFmtId="0" fontId="22" fillId="0" borderId="1" xfId="0" applyFont="1" applyBorder="1" applyAlignment="1">
      <alignment horizontal="center"/>
    </xf>
    <xf numFmtId="164" fontId="5" fillId="3" borderId="1" xfId="0" applyNumberFormat="1" applyFont="1" applyFill="1" applyBorder="1"/>
    <xf numFmtId="0" fontId="5" fillId="3" borderId="0" xfId="0" applyFont="1" applyFill="1" applyAlignment="1">
      <alignment horizontal="center" vertical="center"/>
    </xf>
    <xf numFmtId="164" fontId="5" fillId="4" borderId="1" xfId="0" applyNumberFormat="1" applyFont="1" applyFill="1" applyBorder="1"/>
    <xf numFmtId="0" fontId="5" fillId="0" borderId="1" xfId="0" applyFont="1" applyBorder="1" applyAlignment="1">
      <alignment horizontal="center"/>
    </xf>
    <xf numFmtId="164" fontId="4" fillId="4" borderId="1" xfId="0" applyNumberFormat="1" applyFont="1" applyFill="1" applyBorder="1"/>
    <xf numFmtId="0" fontId="5" fillId="4" borderId="0" xfId="0" applyFont="1" applyFill="1" applyAlignment="1">
      <alignment horizontal="center"/>
    </xf>
    <xf numFmtId="3" fontId="5" fillId="5" borderId="1" xfId="0" applyNumberFormat="1" applyFont="1" applyFill="1" applyBorder="1"/>
    <xf numFmtId="3" fontId="4" fillId="6" borderId="1" xfId="0" applyNumberFormat="1" applyFont="1" applyFill="1" applyBorder="1"/>
    <xf numFmtId="3" fontId="5" fillId="6" borderId="1" xfId="0" applyNumberFormat="1" applyFont="1" applyFill="1" applyBorder="1"/>
    <xf numFmtId="3" fontId="5" fillId="0" borderId="1" xfId="0" applyNumberFormat="1" applyFont="1" applyBorder="1"/>
    <xf numFmtId="0" fontId="4" fillId="0" borderId="1" xfId="0" applyFont="1" applyBorder="1" applyAlignment="1">
      <alignment horizontal="center"/>
    </xf>
    <xf numFmtId="0" fontId="17" fillId="0" borderId="0" xfId="0" applyFont="1"/>
    <xf numFmtId="3" fontId="4" fillId="5" borderId="1" xfId="0" applyNumberFormat="1" applyFont="1" applyFill="1" applyBorder="1"/>
    <xf numFmtId="0" fontId="5" fillId="6" borderId="0" xfId="0" applyFont="1" applyFill="1" applyAlignment="1">
      <alignment horizontal="center"/>
    </xf>
    <xf numFmtId="0" fontId="5" fillId="5" borderId="1" xfId="0" applyFont="1" applyFill="1" applyBorder="1" applyAlignment="1">
      <alignment horizontal="center" vertical="top" wrapText="1"/>
    </xf>
    <xf numFmtId="0" fontId="5" fillId="0" borderId="1" xfId="0" applyFont="1" applyBorder="1" applyAlignment="1">
      <alignment horizontal="center" vertical="top"/>
    </xf>
    <xf numFmtId="0" fontId="25" fillId="0" borderId="1" xfId="0" applyFont="1" applyBorder="1" applyAlignment="1">
      <alignment horizontal="center" vertical="top"/>
    </xf>
    <xf numFmtId="0" fontId="5" fillId="5" borderId="0" xfId="0" applyFont="1" applyFill="1" applyAlignment="1">
      <alignment horizontal="center"/>
    </xf>
    <xf numFmtId="0" fontId="0" fillId="2" borderId="0" xfId="0" applyFill="1"/>
    <xf numFmtId="0" fontId="5" fillId="2" borderId="0" xfId="0" applyFont="1" applyFill="1" applyAlignment="1">
      <alignment vertical="top" wrapText="1"/>
    </xf>
    <xf numFmtId="0" fontId="5" fillId="2" borderId="0" xfId="0" applyFont="1" applyFill="1" applyAlignment="1">
      <alignment horizontal="left" vertical="center" indent="5"/>
    </xf>
    <xf numFmtId="0" fontId="5" fillId="2" borderId="0" xfId="0" applyFont="1" applyFill="1" applyAlignment="1">
      <alignment horizontal="left" vertical="center"/>
    </xf>
    <xf numFmtId="0" fontId="5" fillId="5"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left" vertical="center" indent="8"/>
    </xf>
    <xf numFmtId="0" fontId="5" fillId="6" borderId="0" xfId="0" applyFont="1" applyFill="1" applyAlignment="1">
      <alignment horizontal="center" vertical="center"/>
    </xf>
    <xf numFmtId="0" fontId="26" fillId="2" borderId="0" xfId="0" applyFont="1" applyFill="1"/>
    <xf numFmtId="0" fontId="22" fillId="2" borderId="0" xfId="0" applyFont="1" applyFill="1" applyAlignment="1">
      <alignment horizontal="center"/>
    </xf>
    <xf numFmtId="0" fontId="5" fillId="4" borderId="0" xfId="0" applyFont="1" applyFill="1" applyAlignment="1">
      <alignment horizontal="center" vertical="center"/>
    </xf>
    <xf numFmtId="165" fontId="28" fillId="0" borderId="0" xfId="0" applyNumberFormat="1" applyFont="1"/>
    <xf numFmtId="0" fontId="28" fillId="0" borderId="0" xfId="0" applyFont="1"/>
    <xf numFmtId="0" fontId="29" fillId="0" borderId="0" xfId="0" applyFont="1"/>
    <xf numFmtId="0" fontId="30" fillId="0" borderId="0" xfId="0" applyFont="1"/>
    <xf numFmtId="0" fontId="7" fillId="0" borderId="0" xfId="0" applyFont="1"/>
    <xf numFmtId="0" fontId="30" fillId="2" borderId="0" xfId="0" applyFont="1" applyFill="1"/>
    <xf numFmtId="0" fontId="6" fillId="2" borderId="0" xfId="0" applyFont="1" applyFill="1" applyAlignment="1">
      <alignment horizontal="center"/>
    </xf>
    <xf numFmtId="0" fontId="7" fillId="2" borderId="1" xfId="0" applyFont="1" applyFill="1" applyBorder="1" applyAlignment="1">
      <alignment horizontal="center"/>
    </xf>
    <xf numFmtId="0" fontId="25" fillId="2" borderId="1" xfId="0" applyFont="1" applyFill="1" applyBorder="1"/>
    <xf numFmtId="166" fontId="28" fillId="0" borderId="0" xfId="1" applyNumberFormat="1" applyFont="1" applyFill="1"/>
    <xf numFmtId="0" fontId="31" fillId="2" borderId="0" xfId="0" applyFont="1" applyFill="1"/>
    <xf numFmtId="2" fontId="28" fillId="0" borderId="0" xfId="0" applyNumberFormat="1" applyFont="1"/>
    <xf numFmtId="167" fontId="29" fillId="0" borderId="0" xfId="0" applyNumberFormat="1" applyFont="1"/>
    <xf numFmtId="0" fontId="29" fillId="0" borderId="0" xfId="0" applyFont="1" applyAlignment="1">
      <alignment horizontal="right"/>
    </xf>
    <xf numFmtId="0" fontId="4" fillId="6" borderId="0" xfId="0" applyFont="1" applyFill="1"/>
    <xf numFmtId="0" fontId="7" fillId="6" borderId="0" xfId="0" applyFont="1" applyFill="1" applyAlignment="1">
      <alignment horizontal="left" vertical="center"/>
    </xf>
    <xf numFmtId="0" fontId="5" fillId="6" borderId="0" xfId="0" applyFont="1" applyFill="1"/>
    <xf numFmtId="2" fontId="5" fillId="2" borderId="0" xfId="1" applyNumberFormat="1" applyFont="1" applyFill="1" applyBorder="1" applyAlignment="1">
      <alignment horizontal="center"/>
    </xf>
    <xf numFmtId="0" fontId="4" fillId="2" borderId="0" xfId="0" quotePrefix="1" applyFont="1" applyFill="1"/>
    <xf numFmtId="3" fontId="5" fillId="2" borderId="0" xfId="0" applyNumberFormat="1" applyFont="1" applyFill="1"/>
    <xf numFmtId="0" fontId="6" fillId="2" borderId="0" xfId="0" applyFont="1" applyFill="1" applyAlignment="1">
      <alignment horizontal="right"/>
    </xf>
    <xf numFmtId="0" fontId="6" fillId="7" borderId="1" xfId="0" applyFont="1" applyFill="1" applyBorder="1" applyAlignment="1">
      <alignment horizontal="right"/>
    </xf>
    <xf numFmtId="0" fontId="5" fillId="7" borderId="1" xfId="0" applyFont="1" applyFill="1" applyBorder="1"/>
    <xf numFmtId="168" fontId="36" fillId="6" borderId="1" xfId="0" applyNumberFormat="1" applyFont="1" applyFill="1" applyBorder="1"/>
    <xf numFmtId="167" fontId="5" fillId="7" borderId="1" xfId="0" applyNumberFormat="1" applyFont="1" applyFill="1" applyBorder="1" applyAlignment="1">
      <alignment horizontal="center"/>
    </xf>
    <xf numFmtId="0" fontId="5" fillId="7" borderId="2" xfId="0" applyFont="1" applyFill="1" applyBorder="1"/>
    <xf numFmtId="0" fontId="4" fillId="6" borderId="2" xfId="0" applyFont="1" applyFill="1" applyBorder="1"/>
    <xf numFmtId="0" fontId="37" fillId="6" borderId="2" xfId="0" applyFont="1" applyFill="1" applyBorder="1" applyAlignment="1">
      <alignment horizontal="center" wrapText="1"/>
    </xf>
    <xf numFmtId="0" fontId="25" fillId="2" borderId="1" xfId="0" applyFont="1" applyFill="1" applyBorder="1" applyAlignment="1">
      <alignment horizontal="center" wrapText="1"/>
    </xf>
    <xf numFmtId="0" fontId="25" fillId="2" borderId="1" xfId="0" applyFont="1" applyFill="1" applyBorder="1" applyAlignment="1">
      <alignment horizontal="center"/>
    </xf>
    <xf numFmtId="0" fontId="37" fillId="6" borderId="2" xfId="0" applyFont="1" applyFill="1" applyBorder="1" applyAlignment="1">
      <alignment horizontal="center"/>
    </xf>
    <xf numFmtId="0" fontId="40" fillId="0" borderId="0" xfId="0" applyFont="1"/>
    <xf numFmtId="0" fontId="41" fillId="0" borderId="0" xfId="0" applyFont="1"/>
    <xf numFmtId="0" fontId="41" fillId="8" borderId="0" xfId="0" applyFont="1" applyFill="1"/>
    <xf numFmtId="3" fontId="41" fillId="0" borderId="0" xfId="0" applyNumberFormat="1" applyFont="1"/>
    <xf numFmtId="0" fontId="17" fillId="4" borderId="1" xfId="0" applyFont="1" applyFill="1" applyBorder="1"/>
    <xf numFmtId="0" fontId="37" fillId="2" borderId="1" xfId="0" applyFont="1" applyFill="1" applyBorder="1"/>
    <xf numFmtId="0" fontId="37" fillId="0" borderId="0" xfId="0" applyFont="1"/>
    <xf numFmtId="0" fontId="5" fillId="4" borderId="0" xfId="0" applyFont="1" applyFill="1"/>
    <xf numFmtId="0" fontId="7" fillId="4" borderId="0" xfId="0" applyFont="1" applyFill="1"/>
    <xf numFmtId="0" fontId="5" fillId="2" borderId="0" xfId="0" quotePrefix="1" applyFont="1" applyFill="1" applyAlignment="1">
      <alignment horizontal="left"/>
    </xf>
    <xf numFmtId="0" fontId="4" fillId="7" borderId="1" xfId="0" applyFont="1" applyFill="1" applyBorder="1"/>
    <xf numFmtId="0" fontId="17" fillId="7" borderId="1" xfId="0" applyFont="1" applyFill="1" applyBorder="1"/>
    <xf numFmtId="0" fontId="14" fillId="7" borderId="1" xfId="0" applyFont="1" applyFill="1" applyBorder="1" applyAlignment="1">
      <alignment horizontal="right"/>
    </xf>
    <xf numFmtId="0" fontId="4" fillId="8" borderId="1" xfId="0" applyFont="1" applyFill="1" applyBorder="1"/>
    <xf numFmtId="3" fontId="17" fillId="7" borderId="1" xfId="0" applyNumberFormat="1" applyFont="1" applyFill="1" applyBorder="1" applyAlignment="1">
      <alignment horizontal="center"/>
    </xf>
    <xf numFmtId="167" fontId="17" fillId="7" borderId="1" xfId="0" applyNumberFormat="1" applyFont="1" applyFill="1" applyBorder="1" applyAlignment="1">
      <alignment horizontal="center"/>
    </xf>
    <xf numFmtId="0" fontId="42" fillId="7" borderId="1" xfId="0" applyFont="1" applyFill="1" applyBorder="1" applyAlignment="1">
      <alignment horizontal="center" wrapText="1"/>
    </xf>
    <xf numFmtId="0" fontId="37" fillId="7" borderId="1" xfId="0" applyFont="1" applyFill="1" applyBorder="1" applyAlignment="1">
      <alignment horizontal="center" wrapText="1"/>
    </xf>
    <xf numFmtId="0" fontId="37" fillId="7" borderId="3" xfId="0" applyFont="1" applyFill="1" applyBorder="1" applyAlignment="1">
      <alignment horizontal="center" wrapText="1"/>
    </xf>
    <xf numFmtId="0" fontId="42" fillId="7" borderId="3" xfId="0" applyFont="1" applyFill="1" applyBorder="1" applyAlignment="1">
      <alignment horizontal="center"/>
    </xf>
    <xf numFmtId="2" fontId="0" fillId="0" borderId="0" xfId="0" applyNumberFormat="1"/>
    <xf numFmtId="4" fontId="0" fillId="0" borderId="0" xfId="0" applyNumberFormat="1"/>
    <xf numFmtId="0" fontId="43" fillId="0" borderId="0" xfId="0" applyFont="1"/>
    <xf numFmtId="0" fontId="43" fillId="8" borderId="0" xfId="0" applyFont="1" applyFill="1"/>
    <xf numFmtId="2" fontId="43" fillId="8" borderId="0" xfId="0" applyNumberFormat="1" applyFont="1" applyFill="1"/>
    <xf numFmtId="0" fontId="44" fillId="8" borderId="0" xfId="0" applyFont="1" applyFill="1"/>
    <xf numFmtId="4" fontId="43" fillId="8" borderId="0" xfId="0" applyNumberFormat="1" applyFont="1" applyFill="1"/>
    <xf numFmtId="2" fontId="43" fillId="0" borderId="0" xfId="0" applyNumberFormat="1" applyFont="1"/>
    <xf numFmtId="0" fontId="44" fillId="0" borderId="0" xfId="0" applyFont="1"/>
    <xf numFmtId="4" fontId="43" fillId="0" borderId="0" xfId="0" applyNumberFormat="1" applyFont="1"/>
    <xf numFmtId="0" fontId="43" fillId="0" borderId="0" xfId="0" applyFont="1" applyAlignment="1">
      <alignment horizontal="center"/>
    </xf>
    <xf numFmtId="0" fontId="45" fillId="0" borderId="0" xfId="0" applyFont="1"/>
    <xf numFmtId="0" fontId="47" fillId="2" borderId="0" xfId="0" applyFont="1" applyFill="1"/>
    <xf numFmtId="0" fontId="48" fillId="2" borderId="0" xfId="0" applyFont="1" applyFill="1"/>
    <xf numFmtId="0" fontId="49" fillId="2" borderId="0" xfId="0" applyFont="1" applyFill="1"/>
    <xf numFmtId="0" fontId="50" fillId="2" borderId="0" xfId="0" applyFont="1" applyFill="1"/>
    <xf numFmtId="0" fontId="51" fillId="0" borderId="0" xfId="0" applyFont="1"/>
    <xf numFmtId="3" fontId="43" fillId="0" borderId="0" xfId="0" applyNumberFormat="1" applyFont="1"/>
    <xf numFmtId="0" fontId="0" fillId="8" borderId="0" xfId="0" applyFill="1" applyAlignment="1">
      <alignment horizontal="center"/>
    </xf>
    <xf numFmtId="0" fontId="0" fillId="0" borderId="0" xfId="0" applyAlignment="1">
      <alignment horizontal="center"/>
    </xf>
    <xf numFmtId="0" fontId="0" fillId="0" borderId="0" xfId="0" applyAlignment="1">
      <alignment horizontal="left"/>
    </xf>
    <xf numFmtId="0" fontId="0" fillId="0" borderId="0" xfId="0" applyAlignment="1">
      <alignment horizontal="right" vertical="center"/>
    </xf>
    <xf numFmtId="164" fontId="0" fillId="0" borderId="0" xfId="0" applyNumberFormat="1" applyAlignment="1">
      <alignment horizontal="center"/>
    </xf>
    <xf numFmtId="164" fontId="0" fillId="0" borderId="0" xfId="0" applyNumberFormat="1"/>
    <xf numFmtId="0" fontId="0" fillId="0" borderId="0" xfId="0" quotePrefix="1"/>
    <xf numFmtId="0" fontId="5" fillId="2" borderId="1" xfId="0" applyFont="1" applyFill="1" applyBorder="1" applyAlignment="1">
      <alignment horizontal="right" vertical="center" wrapText="1"/>
    </xf>
    <xf numFmtId="3" fontId="5" fillId="2" borderId="1" xfId="0" applyNumberFormat="1" applyFont="1" applyFill="1" applyBorder="1" applyAlignment="1">
      <alignment horizontal="right" vertical="center" wrapText="1"/>
    </xf>
    <xf numFmtId="0" fontId="5"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5" fillId="2" borderId="0" xfId="0" applyFont="1" applyFill="1" applyAlignment="1">
      <alignment wrapText="1"/>
    </xf>
    <xf numFmtId="0" fontId="5" fillId="2" borderId="0" xfId="0" applyFont="1" applyFill="1" applyAlignment="1">
      <alignment vertical="center" wrapText="1"/>
    </xf>
    <xf numFmtId="0" fontId="5" fillId="8" borderId="0" xfId="0" applyFont="1" applyFill="1" applyAlignment="1">
      <alignment vertical="center"/>
    </xf>
    <xf numFmtId="0" fontId="4" fillId="8" borderId="0" xfId="0" applyFont="1" applyFill="1"/>
    <xf numFmtId="0" fontId="52" fillId="0" borderId="0" xfId="0" applyFont="1"/>
    <xf numFmtId="4" fontId="53" fillId="0" borderId="7" xfId="0" applyNumberFormat="1" applyFont="1" applyBorder="1"/>
    <xf numFmtId="4" fontId="52" fillId="0" borderId="0" xfId="0" applyNumberFormat="1" applyFont="1"/>
    <xf numFmtId="0" fontId="53" fillId="0" borderId="0" xfId="0" applyFont="1"/>
    <xf numFmtId="3" fontId="52" fillId="0" borderId="0" xfId="0" applyNumberFormat="1" applyFont="1"/>
    <xf numFmtId="0" fontId="54" fillId="0" borderId="1" xfId="0" applyFont="1" applyBorder="1" applyAlignment="1">
      <alignment horizontal="center" wrapText="1"/>
    </xf>
    <xf numFmtId="0" fontId="54" fillId="0" borderId="0" xfId="0" applyFont="1"/>
    <xf numFmtId="4" fontId="54" fillId="0" borderId="0" xfId="0" applyNumberFormat="1" applyFont="1"/>
    <xf numFmtId="169" fontId="54" fillId="0" borderId="0" xfId="0" applyNumberFormat="1" applyFont="1"/>
    <xf numFmtId="3" fontId="54" fillId="0" borderId="0" xfId="0" applyNumberFormat="1" applyFont="1"/>
    <xf numFmtId="0" fontId="55" fillId="0" borderId="1" xfId="0" applyFont="1" applyBorder="1" applyAlignment="1">
      <alignment horizontal="center" wrapText="1"/>
    </xf>
    <xf numFmtId="0" fontId="54" fillId="0" borderId="1" xfId="0" applyFont="1" applyBorder="1" applyAlignment="1">
      <alignment horizontal="center"/>
    </xf>
    <xf numFmtId="0" fontId="41" fillId="0" borderId="0" xfId="0" applyFont="1" applyAlignment="1">
      <alignment horizontal="center"/>
    </xf>
    <xf numFmtId="0" fontId="56" fillId="0" borderId="0" xfId="0" applyFont="1"/>
    <xf numFmtId="0" fontId="57" fillId="0" borderId="8" xfId="0" applyFont="1" applyBorder="1"/>
    <xf numFmtId="0" fontId="58" fillId="0" borderId="9" xfId="0" applyFont="1" applyBorder="1"/>
    <xf numFmtId="0" fontId="58" fillId="0" borderId="0" xfId="0" applyFont="1"/>
    <xf numFmtId="0" fontId="4" fillId="2" borderId="0" xfId="0" applyFont="1" applyFill="1" applyAlignment="1">
      <alignment wrapText="1"/>
    </xf>
    <xf numFmtId="0" fontId="7" fillId="2" borderId="1" xfId="0" applyFont="1" applyFill="1" applyBorder="1" applyAlignment="1">
      <alignment horizontal="center" vertical="center"/>
    </xf>
    <xf numFmtId="0" fontId="4" fillId="8" borderId="0" xfId="0" applyFont="1" applyFill="1" applyAlignment="1">
      <alignment wrapText="1"/>
    </xf>
    <xf numFmtId="0" fontId="5" fillId="8" borderId="0" xfId="0" applyFont="1" applyFill="1"/>
    <xf numFmtId="0" fontId="7" fillId="8" borderId="0" xfId="0" applyFont="1" applyFill="1"/>
    <xf numFmtId="3" fontId="4" fillId="2" borderId="0" xfId="0" applyNumberFormat="1" applyFont="1" applyFill="1"/>
    <xf numFmtId="0" fontId="5" fillId="2" borderId="0" xfId="0" applyFont="1" applyFill="1" applyAlignment="1">
      <alignment horizontal="left"/>
    </xf>
    <xf numFmtId="0" fontId="5" fillId="2" borderId="0" xfId="0" applyFont="1" applyFill="1" applyAlignment="1">
      <alignment horizontal="center"/>
    </xf>
    <xf numFmtId="0" fontId="5" fillId="2" borderId="1" xfId="0" quotePrefix="1" applyFont="1" applyFill="1" applyBorder="1" applyAlignment="1">
      <alignment horizontal="center"/>
    </xf>
    <xf numFmtId="0" fontId="36" fillId="8" borderId="0" xfId="0" applyFont="1" applyFill="1"/>
    <xf numFmtId="0" fontId="61" fillId="8" borderId="0" xfId="0" applyFont="1" applyFill="1"/>
    <xf numFmtId="0" fontId="20" fillId="9" borderId="0" xfId="0" applyFont="1" applyFill="1"/>
    <xf numFmtId="0" fontId="21" fillId="9" borderId="0" xfId="0" applyFont="1" applyFill="1"/>
    <xf numFmtId="0" fontId="4" fillId="9" borderId="0" xfId="0" applyFont="1" applyFill="1"/>
    <xf numFmtId="0" fontId="62" fillId="0" borderId="0" xfId="0" applyFont="1"/>
    <xf numFmtId="170" fontId="62" fillId="0" borderId="1" xfId="0" applyNumberFormat="1" applyFont="1" applyBorder="1"/>
    <xf numFmtId="0" fontId="62" fillId="0" borderId="1" xfId="0" applyFont="1" applyBorder="1"/>
    <xf numFmtId="170" fontId="17" fillId="0" borderId="1" xfId="0" applyNumberFormat="1" applyFont="1" applyBorder="1"/>
    <xf numFmtId="0" fontId="17" fillId="0" borderId="1" xfId="0" applyFont="1" applyBorder="1"/>
    <xf numFmtId="0" fontId="17" fillId="10" borderId="1" xfId="0" applyFont="1" applyFill="1" applyBorder="1"/>
    <xf numFmtId="0" fontId="37" fillId="10" borderId="1" xfId="0" applyFont="1" applyFill="1" applyBorder="1" applyAlignment="1">
      <alignment horizontal="center"/>
    </xf>
    <xf numFmtId="171" fontId="17" fillId="0" borderId="0" xfId="0" applyNumberFormat="1" applyFont="1"/>
    <xf numFmtId="0" fontId="62" fillId="10" borderId="1" xfId="0" applyFont="1" applyFill="1" applyBorder="1"/>
    <xf numFmtId="0" fontId="17" fillId="10" borderId="6" xfId="0" applyFont="1" applyFill="1" applyBorder="1"/>
    <xf numFmtId="0" fontId="17" fillId="10" borderId="10" xfId="0" applyFont="1" applyFill="1" applyBorder="1"/>
    <xf numFmtId="0" fontId="62" fillId="10" borderId="2" xfId="0" applyFont="1" applyFill="1" applyBorder="1"/>
    <xf numFmtId="0" fontId="4" fillId="10" borderId="0" xfId="0" applyFont="1" applyFill="1"/>
    <xf numFmtId="0" fontId="0" fillId="10" borderId="0" xfId="0" applyFill="1"/>
    <xf numFmtId="0" fontId="5" fillId="10" borderId="0" xfId="0" applyFont="1" applyFill="1"/>
    <xf numFmtId="0" fontId="7" fillId="10" borderId="0" xfId="0" applyFont="1" applyFill="1" applyAlignment="1">
      <alignment horizontal="left" indent="1"/>
    </xf>
    <xf numFmtId="0" fontId="29" fillId="0" borderId="0" xfId="0" applyFont="1" applyAlignment="1">
      <alignment horizontal="left" vertical="top" wrapText="1"/>
    </xf>
    <xf numFmtId="0" fontId="5" fillId="0" borderId="0" xfId="0" applyFont="1"/>
    <xf numFmtId="0" fontId="6" fillId="0" borderId="0" xfId="0" applyFont="1"/>
    <xf numFmtId="171" fontId="17" fillId="5" borderId="1" xfId="0" applyNumberFormat="1" applyFont="1" applyFill="1" applyBorder="1"/>
    <xf numFmtId="0" fontId="17" fillId="0" borderId="0" xfId="0" applyFont="1" applyAlignment="1">
      <alignment wrapText="1"/>
    </xf>
    <xf numFmtId="170" fontId="17" fillId="11" borderId="1" xfId="0" applyNumberFormat="1" applyFont="1" applyFill="1" applyBorder="1"/>
    <xf numFmtId="0" fontId="14" fillId="0" borderId="0" xfId="0" applyFont="1"/>
    <xf numFmtId="170" fontId="17" fillId="12" borderId="1" xfId="0" applyNumberFormat="1" applyFont="1" applyFill="1" applyBorder="1" applyAlignment="1">
      <alignment horizontal="right"/>
    </xf>
    <xf numFmtId="0" fontId="17" fillId="0" borderId="1" xfId="0" applyFont="1" applyBorder="1" applyAlignment="1">
      <alignment horizontal="center" vertical="center"/>
    </xf>
    <xf numFmtId="0" fontId="37" fillId="0" borderId="1" xfId="0" applyFont="1" applyBorder="1" applyAlignment="1">
      <alignment horizontal="center"/>
    </xf>
    <xf numFmtId="0" fontId="62" fillId="0" borderId="1" xfId="0" applyFont="1" applyBorder="1" applyAlignment="1">
      <alignment horizontal="center" vertical="center"/>
    </xf>
    <xf numFmtId="0" fontId="4" fillId="12" borderId="0" xfId="0" applyFont="1" applyFill="1"/>
    <xf numFmtId="0" fontId="5" fillId="12" borderId="0" xfId="0" applyFont="1" applyFill="1"/>
    <xf numFmtId="0" fontId="6" fillId="12" borderId="0" xfId="0" applyFont="1" applyFill="1"/>
    <xf numFmtId="0" fontId="7" fillId="12" borderId="0" xfId="0" applyFont="1" applyFill="1"/>
    <xf numFmtId="0" fontId="5" fillId="2" borderId="17" xfId="0" applyFont="1" applyFill="1" applyBorder="1" applyAlignment="1">
      <alignment horizontal="left"/>
    </xf>
    <xf numFmtId="0" fontId="22" fillId="10" borderId="1" xfId="0" applyFont="1" applyFill="1" applyBorder="1" applyAlignment="1">
      <alignment horizontal="center"/>
    </xf>
    <xf numFmtId="172" fontId="22" fillId="5" borderId="1" xfId="0" applyNumberFormat="1" applyFont="1" applyFill="1" applyBorder="1" applyAlignment="1">
      <alignment horizontal="center"/>
    </xf>
    <xf numFmtId="0" fontId="4" fillId="10" borderId="1" xfId="0" applyFont="1" applyFill="1" applyBorder="1"/>
    <xf numFmtId="172" fontId="4" fillId="5" borderId="1" xfId="0" applyNumberFormat="1" applyFont="1" applyFill="1" applyBorder="1"/>
    <xf numFmtId="170" fontId="4" fillId="11" borderId="1" xfId="0" applyNumberFormat="1" applyFont="1" applyFill="1" applyBorder="1"/>
    <xf numFmtId="168" fontId="4" fillId="12" borderId="1" xfId="0" applyNumberFormat="1" applyFont="1" applyFill="1" applyBorder="1"/>
    <xf numFmtId="3" fontId="5" fillId="2" borderId="1" xfId="0" applyNumberFormat="1" applyFont="1" applyFill="1" applyBorder="1" applyAlignment="1">
      <alignment horizontal="right" indent="1"/>
    </xf>
    <xf numFmtId="169" fontId="4" fillId="10" borderId="1" xfId="0" applyNumberFormat="1" applyFont="1" applyFill="1" applyBorder="1"/>
    <xf numFmtId="0" fontId="36" fillId="10" borderId="1" xfId="0" applyFont="1" applyFill="1" applyBorder="1" applyAlignment="1">
      <alignment horizontal="center"/>
    </xf>
    <xf numFmtId="0" fontId="62" fillId="5" borderId="1" xfId="0" applyFont="1" applyFill="1" applyBorder="1" applyAlignment="1">
      <alignment horizontal="center" wrapText="1"/>
    </xf>
    <xf numFmtId="0" fontId="62" fillId="11" borderId="1" xfId="0" applyFont="1" applyFill="1" applyBorder="1" applyAlignment="1">
      <alignment horizontal="center" wrapText="1"/>
    </xf>
    <xf numFmtId="0" fontId="62" fillId="12" borderId="1" xfId="0" applyFont="1" applyFill="1" applyBorder="1" applyAlignment="1">
      <alignment horizontal="center" wrapText="1"/>
    </xf>
    <xf numFmtId="0" fontId="5" fillId="2" borderId="0" xfId="0" applyFont="1" applyFill="1" applyAlignment="1">
      <alignment vertical="top"/>
    </xf>
    <xf numFmtId="3" fontId="4" fillId="12" borderId="1" xfId="0" applyNumberFormat="1" applyFont="1" applyFill="1" applyBorder="1"/>
    <xf numFmtId="0" fontId="36" fillId="12" borderId="1" xfId="0" applyFont="1" applyFill="1" applyBorder="1" applyAlignment="1">
      <alignment horizontal="center"/>
    </xf>
    <xf numFmtId="0" fontId="64" fillId="0" borderId="0" xfId="0" applyFont="1"/>
    <xf numFmtId="0" fontId="64" fillId="0" borderId="0" xfId="0" applyFont="1" applyAlignment="1">
      <alignment wrapText="1"/>
    </xf>
    <xf numFmtId="3" fontId="65" fillId="0" borderId="1" xfId="0" applyNumberFormat="1" applyFont="1" applyBorder="1"/>
    <xf numFmtId="0" fontId="48" fillId="2" borderId="1" xfId="0" applyFont="1" applyFill="1" applyBorder="1" applyAlignment="1">
      <alignment horizontal="center" vertical="center" wrapText="1"/>
    </xf>
    <xf numFmtId="3" fontId="64" fillId="0" borderId="1" xfId="0" applyNumberFormat="1" applyFont="1" applyBorder="1"/>
    <xf numFmtId="169" fontId="64" fillId="0" borderId="1" xfId="0" applyNumberFormat="1" applyFont="1" applyBorder="1"/>
    <xf numFmtId="4" fontId="64" fillId="0" borderId="1"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64" fillId="0" borderId="1" xfId="0" applyFont="1" applyBorder="1" applyAlignment="1">
      <alignment horizontal="center" wrapText="1"/>
    </xf>
    <xf numFmtId="0" fontId="64" fillId="0" borderId="5" xfId="0" applyFont="1" applyBorder="1"/>
    <xf numFmtId="0" fontId="66" fillId="0" borderId="1" xfId="0" applyFont="1" applyBorder="1" applyAlignment="1">
      <alignment horizontal="center" wrapText="1"/>
    </xf>
    <xf numFmtId="0" fontId="65" fillId="0" borderId="1" xfId="0" applyFont="1" applyBorder="1" applyAlignment="1">
      <alignment horizontal="center" wrapText="1"/>
    </xf>
    <xf numFmtId="0" fontId="48" fillId="2" borderId="1" xfId="0" applyFont="1" applyFill="1" applyBorder="1" applyAlignment="1">
      <alignment horizontal="center" wrapText="1"/>
    </xf>
    <xf numFmtId="0" fontId="47" fillId="0" borderId="0" xfId="0" applyFont="1"/>
    <xf numFmtId="0" fontId="48" fillId="0" borderId="0" xfId="0" applyFont="1"/>
    <xf numFmtId="0" fontId="49" fillId="0" borderId="0" xfId="0" applyFont="1"/>
    <xf numFmtId="0" fontId="50" fillId="0" borderId="0" xfId="0" applyFont="1"/>
    <xf numFmtId="0" fontId="48" fillId="2" borderId="0" xfId="0" applyFont="1" applyFill="1" applyAlignment="1">
      <alignment wrapText="1"/>
    </xf>
    <xf numFmtId="0" fontId="48" fillId="2" borderId="0" xfId="0" applyFont="1" applyFill="1" applyAlignment="1">
      <alignment vertical="top"/>
    </xf>
    <xf numFmtId="0" fontId="67" fillId="0" borderId="0" xfId="0" applyFont="1" applyAlignment="1">
      <alignment horizontal="right"/>
    </xf>
    <xf numFmtId="0" fontId="65" fillId="0" borderId="0" xfId="0" applyFont="1"/>
    <xf numFmtId="0" fontId="66" fillId="0" borderId="0" xfId="0" applyFont="1" applyAlignment="1">
      <alignment horizontal="right"/>
    </xf>
    <xf numFmtId="0" fontId="48" fillId="2" borderId="1" xfId="0" applyFont="1" applyFill="1" applyBorder="1"/>
    <xf numFmtId="0" fontId="48" fillId="2" borderId="0" xfId="0" applyFont="1" applyFill="1" applyAlignment="1">
      <alignment horizontal="right" indent="1"/>
    </xf>
    <xf numFmtId="173" fontId="62" fillId="0" borderId="1" xfId="2" applyNumberFormat="1" applyFont="1" applyFill="1" applyBorder="1" applyAlignment="1">
      <alignment horizontal="center"/>
    </xf>
    <xf numFmtId="0" fontId="62" fillId="0" borderId="1" xfId="0" applyFont="1" applyBorder="1" applyAlignment="1">
      <alignment horizontal="center"/>
    </xf>
    <xf numFmtId="3" fontId="17" fillId="0" borderId="1" xfId="0" applyNumberFormat="1" applyFont="1" applyBorder="1"/>
    <xf numFmtId="3" fontId="62" fillId="3" borderId="1" xfId="0" applyNumberFormat="1" applyFont="1" applyFill="1" applyBorder="1"/>
    <xf numFmtId="0" fontId="17" fillId="0" borderId="0" xfId="0" applyFont="1" applyAlignment="1">
      <alignment horizontal="right"/>
    </xf>
    <xf numFmtId="0" fontId="17" fillId="0" borderId="1" xfId="0" applyFont="1" applyBorder="1" applyAlignment="1">
      <alignment horizontal="center"/>
    </xf>
    <xf numFmtId="0" fontId="62" fillId="3" borderId="1" xfId="0" applyFont="1" applyFill="1" applyBorder="1" applyAlignment="1">
      <alignment horizontal="center"/>
    </xf>
    <xf numFmtId="0" fontId="5" fillId="2" borderId="0" xfId="0" applyFont="1" applyFill="1" applyAlignment="1">
      <alignment horizontal="right" vertical="center" wrapText="1"/>
    </xf>
    <xf numFmtId="3" fontId="5" fillId="2" borderId="0" xfId="0" applyNumberFormat="1" applyFont="1" applyFill="1" applyAlignment="1">
      <alignment horizontal="right" vertical="center" wrapText="1"/>
    </xf>
    <xf numFmtId="0" fontId="5" fillId="2" borderId="0" xfId="0" applyFont="1" applyFill="1" applyAlignment="1">
      <alignment horizontal="center" vertical="center" wrapText="1"/>
    </xf>
    <xf numFmtId="164" fontId="5" fillId="2" borderId="1" xfId="0" applyNumberFormat="1" applyFont="1" applyFill="1" applyBorder="1" applyAlignment="1">
      <alignment horizontal="right" vertical="center" wrapText="1"/>
    </xf>
    <xf numFmtId="170" fontId="5" fillId="2" borderId="1" xfId="0" applyNumberFormat="1" applyFont="1" applyFill="1" applyBorder="1" applyAlignment="1">
      <alignment horizontal="right" vertical="center" wrapText="1"/>
    </xf>
    <xf numFmtId="0" fontId="68" fillId="2" borderId="1" xfId="0" applyFont="1" applyFill="1" applyBorder="1" applyAlignment="1">
      <alignment horizontal="center" vertical="center" wrapText="1"/>
    </xf>
    <xf numFmtId="169" fontId="5" fillId="2" borderId="1" xfId="0" applyNumberFormat="1" applyFont="1" applyFill="1" applyBorder="1" applyAlignment="1">
      <alignment horizontal="right" vertical="center" wrapText="1"/>
    </xf>
    <xf numFmtId="174" fontId="5" fillId="2" borderId="1" xfId="0" applyNumberFormat="1" applyFont="1" applyFill="1" applyBorder="1" applyAlignment="1">
      <alignment horizontal="right" vertical="center" wrapText="1"/>
    </xf>
    <xf numFmtId="0" fontId="6" fillId="2" borderId="1" xfId="0" applyFont="1" applyFill="1" applyBorder="1" applyAlignment="1">
      <alignment horizontal="center" vertical="center" wrapText="1"/>
    </xf>
    <xf numFmtId="3" fontId="17" fillId="3" borderId="1" xfId="0" applyNumberFormat="1" applyFont="1" applyFill="1" applyBorder="1" applyAlignment="1">
      <alignment horizontal="right" vertical="center" wrapText="1"/>
    </xf>
    <xf numFmtId="0" fontId="25" fillId="2" borderId="3" xfId="0" applyFont="1" applyFill="1" applyBorder="1" applyAlignment="1">
      <alignment horizontal="center"/>
    </xf>
    <xf numFmtId="0" fontId="25" fillId="2" borderId="4" xfId="0" applyFont="1" applyFill="1" applyBorder="1" applyAlignment="1">
      <alignment horizontal="center"/>
    </xf>
    <xf numFmtId="0" fontId="5" fillId="2" borderId="4" xfId="0" applyFont="1" applyFill="1" applyBorder="1"/>
    <xf numFmtId="0" fontId="4" fillId="8" borderId="0" xfId="0" applyFont="1" applyFill="1" applyAlignment="1">
      <alignment horizontal="left" vertical="center"/>
    </xf>
    <xf numFmtId="4" fontId="3" fillId="0" borderId="3" xfId="0" applyNumberFormat="1" applyFont="1" applyBorder="1"/>
    <xf numFmtId="0" fontId="3" fillId="0" borderId="4" xfId="0" applyFont="1" applyBorder="1" applyAlignment="1">
      <alignment horizontal="center"/>
    </xf>
    <xf numFmtId="172" fontId="0" fillId="0" borderId="1" xfId="0" applyNumberFormat="1" applyBorder="1"/>
    <xf numFmtId="4" fontId="0" fillId="0" borderId="1" xfId="0" applyNumberFormat="1" applyBorder="1"/>
    <xf numFmtId="3" fontId="0" fillId="0" borderId="1" xfId="0" applyNumberFormat="1" applyBorder="1"/>
    <xf numFmtId="171" fontId="0" fillId="0" borderId="1" xfId="0" applyNumberFormat="1" applyBorder="1"/>
    <xf numFmtId="3" fontId="0" fillId="0" borderId="1" xfId="0" applyNumberFormat="1" applyBorder="1" applyAlignment="1">
      <alignment horizontal="left" indent="2"/>
    </xf>
    <xf numFmtId="0" fontId="0" fillId="0" borderId="1" xfId="0" applyBorder="1" applyAlignment="1">
      <alignment horizontal="center"/>
    </xf>
    <xf numFmtId="3" fontId="0" fillId="0" borderId="1" xfId="0" applyNumberFormat="1" applyBorder="1" applyAlignment="1">
      <alignment horizontal="right" indent="1"/>
    </xf>
    <xf numFmtId="171" fontId="3" fillId="0" borderId="1" xfId="0" applyNumberFormat="1" applyFont="1" applyBorder="1"/>
    <xf numFmtId="0" fontId="0" fillId="0" borderId="1" xfId="0" applyBorder="1" applyAlignment="1">
      <alignment horizontal="center" wrapText="1"/>
    </xf>
    <xf numFmtId="3" fontId="5" fillId="2" borderId="1" xfId="0" applyNumberFormat="1" applyFont="1" applyFill="1" applyBorder="1" applyAlignment="1">
      <alignment horizontal="left" indent="2"/>
    </xf>
    <xf numFmtId="175" fontId="36" fillId="0" borderId="0" xfId="0" applyNumberFormat="1" applyFont="1"/>
    <xf numFmtId="0" fontId="36" fillId="0" borderId="0" xfId="0" applyFont="1"/>
    <xf numFmtId="37" fontId="4" fillId="0" borderId="0" xfId="0" applyNumberFormat="1" applyFont="1"/>
    <xf numFmtId="0" fontId="4" fillId="0" borderId="0" xfId="0" applyFont="1" applyAlignment="1">
      <alignment horizontal="center"/>
    </xf>
    <xf numFmtId="3" fontId="4" fillId="0" borderId="1" xfId="0" applyNumberFormat="1" applyFont="1" applyBorder="1" applyAlignment="1">
      <alignment horizontal="right" inden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5" fillId="2" borderId="0" xfId="0" applyFont="1" applyFill="1" applyAlignment="1">
      <alignment horizontal="left" indent="1"/>
    </xf>
    <xf numFmtId="3" fontId="4" fillId="0" borderId="1" xfId="0" applyNumberFormat="1" applyFont="1" applyBorder="1" applyAlignment="1">
      <alignment horizontal="left" indent="3"/>
    </xf>
    <xf numFmtId="175" fontId="36" fillId="0" borderId="1" xfId="1" applyNumberFormat="1" applyFont="1" applyBorder="1"/>
    <xf numFmtId="0" fontId="42" fillId="0" borderId="1" xfId="0" applyFont="1" applyBorder="1" applyAlignment="1">
      <alignment horizontal="center"/>
    </xf>
    <xf numFmtId="0" fontId="4" fillId="0" borderId="6" xfId="0" applyFont="1" applyBorder="1" applyAlignment="1">
      <alignment horizontal="center"/>
    </xf>
    <xf numFmtId="171" fontId="5" fillId="2" borderId="1" xfId="0" applyNumberFormat="1" applyFont="1" applyFill="1" applyBorder="1"/>
    <xf numFmtId="0" fontId="4" fillId="0" borderId="0" xfId="0" applyFont="1" applyAlignment="1">
      <alignment horizontal="left" vertical="top"/>
    </xf>
    <xf numFmtId="3" fontId="5" fillId="2" borderId="1" xfId="0" applyNumberFormat="1" applyFont="1" applyFill="1" applyBorder="1" applyAlignment="1">
      <alignment horizontal="left" indent="3"/>
    </xf>
    <xf numFmtId="0" fontId="74" fillId="0" borderId="0" xfId="0" applyFont="1"/>
    <xf numFmtId="0" fontId="76" fillId="2" borderId="0" xfId="0" applyFont="1" applyFill="1" applyAlignment="1">
      <alignment horizontal="center"/>
    </xf>
    <xf numFmtId="0" fontId="74" fillId="2" borderId="0" xfId="0" applyFont="1" applyFill="1"/>
    <xf numFmtId="0" fontId="76" fillId="2" borderId="0" xfId="0" applyFont="1" applyFill="1"/>
    <xf numFmtId="0" fontId="78" fillId="0" borderId="0" xfId="0" applyFont="1"/>
    <xf numFmtId="0" fontId="76" fillId="2" borderId="0" xfId="0" applyFont="1" applyFill="1" applyAlignment="1">
      <alignment horizontal="center" vertical="top"/>
    </xf>
    <xf numFmtId="0" fontId="79" fillId="0" borderId="0" xfId="0" applyFont="1"/>
    <xf numFmtId="0" fontId="47" fillId="10" borderId="0" xfId="0" applyFont="1" applyFill="1"/>
    <xf numFmtId="174" fontId="76" fillId="2" borderId="11" xfId="0" applyNumberFormat="1" applyFont="1" applyFill="1" applyBorder="1"/>
    <xf numFmtId="174" fontId="76" fillId="2" borderId="12" xfId="0" applyNumberFormat="1" applyFont="1" applyFill="1" applyBorder="1"/>
    <xf numFmtId="0" fontId="76" fillId="2" borderId="13" xfId="0" applyFont="1" applyFill="1" applyBorder="1" applyAlignment="1">
      <alignment horizontal="center"/>
    </xf>
    <xf numFmtId="174" fontId="76" fillId="2" borderId="17" xfId="0" applyNumberFormat="1" applyFont="1" applyFill="1" applyBorder="1"/>
    <xf numFmtId="174" fontId="76" fillId="2" borderId="0" xfId="0" applyNumberFormat="1" applyFont="1" applyFill="1"/>
    <xf numFmtId="0" fontId="76" fillId="2" borderId="18" xfId="0" applyFont="1" applyFill="1" applyBorder="1" applyAlignment="1">
      <alignment horizontal="center"/>
    </xf>
    <xf numFmtId="0" fontId="76" fillId="2" borderId="17" xfId="0" applyFont="1" applyFill="1" applyBorder="1" applyAlignment="1">
      <alignment horizontal="center"/>
    </xf>
    <xf numFmtId="0" fontId="76" fillId="2" borderId="18" xfId="0" applyFont="1" applyFill="1" applyBorder="1"/>
    <xf numFmtId="0" fontId="76" fillId="2" borderId="17" xfId="0" applyFont="1" applyFill="1" applyBorder="1"/>
    <xf numFmtId="3" fontId="76" fillId="2" borderId="0" xfId="0" applyNumberFormat="1" applyFont="1" applyFill="1"/>
    <xf numFmtId="3" fontId="76" fillId="2" borderId="18" xfId="0" applyNumberFormat="1" applyFont="1" applyFill="1" applyBorder="1"/>
    <xf numFmtId="174" fontId="76" fillId="2" borderId="18" xfId="0" applyNumberFormat="1" applyFont="1" applyFill="1" applyBorder="1"/>
    <xf numFmtId="0" fontId="76" fillId="2" borderId="14" xfId="0" applyFont="1" applyFill="1" applyBorder="1"/>
    <xf numFmtId="174" fontId="76" fillId="2" borderId="15" xfId="0" applyNumberFormat="1" applyFont="1" applyFill="1" applyBorder="1"/>
    <xf numFmtId="174" fontId="76" fillId="2" borderId="16" xfId="0" applyNumberFormat="1" applyFont="1" applyFill="1" applyBorder="1"/>
    <xf numFmtId="0" fontId="20" fillId="10" borderId="0" xfId="0" applyFont="1" applyFill="1"/>
    <xf numFmtId="0" fontId="76" fillId="10" borderId="0" xfId="0" applyFont="1" applyFill="1"/>
    <xf numFmtId="0" fontId="77" fillId="10" borderId="0" xfId="0" applyFont="1" applyFill="1"/>
    <xf numFmtId="0" fontId="75" fillId="10" borderId="0" xfId="0" applyFont="1" applyFill="1" applyAlignment="1">
      <alignment horizontal="left"/>
    </xf>
    <xf numFmtId="0" fontId="75" fillId="2" borderId="0" xfId="0" applyFont="1" applyFill="1" applyAlignment="1">
      <alignment horizontal="left"/>
    </xf>
    <xf numFmtId="0" fontId="17" fillId="0" borderId="0" xfId="0" applyFont="1" applyAlignment="1">
      <alignment vertical="top"/>
    </xf>
    <xf numFmtId="0" fontId="82" fillId="2" borderId="0" xfId="0" applyFont="1" applyFill="1" applyAlignment="1">
      <alignment horizontal="left"/>
    </xf>
    <xf numFmtId="0" fontId="20" fillId="2" borderId="0" xfId="0" applyFont="1" applyFill="1" applyAlignment="1">
      <alignment horizontal="center"/>
    </xf>
    <xf numFmtId="43" fontId="4" fillId="10" borderId="0" xfId="0" applyNumberFormat="1" applyFont="1" applyFill="1"/>
    <xf numFmtId="0" fontId="39" fillId="10" borderId="0" xfId="0" applyFont="1" applyFill="1"/>
    <xf numFmtId="0" fontId="82" fillId="10" borderId="0" xfId="0" applyFont="1" applyFill="1" applyAlignment="1">
      <alignment horizontal="left" indent="2"/>
    </xf>
    <xf numFmtId="0" fontId="20" fillId="2" borderId="0" xfId="0" applyFont="1" applyFill="1" applyAlignment="1">
      <alignment horizontal="left" indent="2"/>
    </xf>
    <xf numFmtId="0" fontId="20" fillId="2" borderId="0" xfId="0" applyFont="1" applyFill="1" applyAlignment="1">
      <alignment horizontal="right"/>
    </xf>
    <xf numFmtId="0" fontId="83" fillId="2" borderId="0" xfId="0" applyFont="1" applyFill="1"/>
    <xf numFmtId="166" fontId="17" fillId="0" borderId="0" xfId="1" applyNumberFormat="1" applyFont="1"/>
    <xf numFmtId="0" fontId="17" fillId="0" borderId="0" xfId="0" applyFont="1" applyAlignment="1">
      <alignment horizontal="center"/>
    </xf>
    <xf numFmtId="0" fontId="20" fillId="0" borderId="0" xfId="0" applyFont="1"/>
    <xf numFmtId="0" fontId="82" fillId="2" borderId="0" xfId="0" applyFont="1" applyFill="1" applyAlignment="1">
      <alignment horizontal="left" indent="2"/>
    </xf>
    <xf numFmtId="171" fontId="4" fillId="0" borderId="0" xfId="0" applyNumberFormat="1" applyFont="1" applyAlignment="1">
      <alignment horizontal="center" vertical="center"/>
    </xf>
    <xf numFmtId="3" fontId="20" fillId="2" borderId="1" xfId="0" applyNumberFormat="1" applyFont="1" applyFill="1" applyBorder="1"/>
    <xf numFmtId="0" fontId="61" fillId="2" borderId="1" xfId="0" applyFont="1" applyFill="1" applyBorder="1" applyAlignment="1">
      <alignment horizontal="center" wrapText="1"/>
    </xf>
    <xf numFmtId="0" fontId="20" fillId="2" borderId="0" xfId="0" applyFont="1" applyFill="1" applyAlignment="1">
      <alignment horizontal="center" wrapText="1"/>
    </xf>
    <xf numFmtId="0" fontId="61" fillId="2" borderId="1" xfId="0" applyFont="1" applyFill="1" applyBorder="1" applyAlignment="1">
      <alignment horizontal="center" vertical="center" wrapText="1"/>
    </xf>
    <xf numFmtId="0" fontId="61" fillId="2" borderId="3" xfId="0" applyFont="1" applyFill="1" applyBorder="1" applyAlignment="1">
      <alignment horizontal="center" wrapText="1"/>
    </xf>
    <xf numFmtId="0" fontId="61" fillId="2" borderId="0" xfId="0" applyFont="1" applyFill="1" applyAlignment="1">
      <alignment horizontal="center" wrapText="1"/>
    </xf>
    <xf numFmtId="0" fontId="61" fillId="2" borderId="6" xfId="0" applyFont="1" applyFill="1" applyBorder="1" applyAlignment="1">
      <alignment horizontal="center" vertical="center" wrapText="1"/>
    </xf>
    <xf numFmtId="0" fontId="61" fillId="2" borderId="4" xfId="0" applyFont="1" applyFill="1" applyBorder="1" applyAlignment="1">
      <alignment horizontal="center" wrapText="1"/>
    </xf>
    <xf numFmtId="0" fontId="20" fillId="2" borderId="0" xfId="0" applyFont="1" applyFill="1" applyAlignment="1">
      <alignment horizontal="left"/>
    </xf>
    <xf numFmtId="0" fontId="20" fillId="2" borderId="0" xfId="0" applyFont="1" applyFill="1" applyAlignment="1">
      <alignment horizontal="left" vertical="center" wrapText="1"/>
    </xf>
    <xf numFmtId="0" fontId="39" fillId="2" borderId="0" xfId="0" applyFont="1" applyFill="1"/>
    <xf numFmtId="0" fontId="82" fillId="2" borderId="0" xfId="0" applyFont="1" applyFill="1"/>
    <xf numFmtId="0" fontId="20" fillId="8" borderId="0" xfId="0" applyFont="1" applyFill="1"/>
    <xf numFmtId="0" fontId="20" fillId="8" borderId="0" xfId="0" applyFont="1" applyFill="1" applyAlignment="1">
      <alignment vertical="center"/>
    </xf>
    <xf numFmtId="0" fontId="20" fillId="0" borderId="19" xfId="0" applyFont="1" applyBorder="1"/>
    <xf numFmtId="0" fontId="20" fillId="0" borderId="20" xfId="0" applyFont="1" applyBorder="1"/>
    <xf numFmtId="0" fontId="62" fillId="0" borderId="21" xfId="0" applyFont="1" applyBorder="1"/>
    <xf numFmtId="0" fontId="4" fillId="0" borderId="22" xfId="0" applyFont="1" applyBorder="1"/>
    <xf numFmtId="0" fontId="4" fillId="0" borderId="23" xfId="0" applyFont="1" applyBorder="1"/>
    <xf numFmtId="0" fontId="36" fillId="0" borderId="24" xfId="0" applyFont="1" applyBorder="1"/>
    <xf numFmtId="0" fontId="84" fillId="0" borderId="0" xfId="0" applyFont="1" applyAlignment="1">
      <alignment horizontal="center" vertical="center"/>
    </xf>
    <xf numFmtId="0" fontId="17" fillId="0" borderId="0" xfId="0" applyFont="1" applyAlignment="1">
      <alignment horizontal="left"/>
    </xf>
    <xf numFmtId="0" fontId="17" fillId="0" borderId="0" xfId="0" applyFont="1" applyAlignment="1">
      <alignment horizontal="left" indent="1"/>
    </xf>
    <xf numFmtId="0" fontId="9" fillId="0" borderId="0" xfId="0" applyFont="1"/>
    <xf numFmtId="0" fontId="9" fillId="2" borderId="1" xfId="0" applyFont="1" applyFill="1" applyBorder="1"/>
    <xf numFmtId="0" fontId="85" fillId="2" borderId="1" xfId="0" applyFont="1" applyFill="1" applyBorder="1" applyAlignment="1">
      <alignment horizontal="center" vertical="center"/>
    </xf>
    <xf numFmtId="0" fontId="85" fillId="2" borderId="1" xfId="0" applyFont="1" applyFill="1" applyBorder="1" applyAlignment="1">
      <alignment horizontal="center"/>
    </xf>
    <xf numFmtId="172" fontId="20" fillId="2" borderId="1" xfId="0" applyNumberFormat="1" applyFont="1" applyFill="1" applyBorder="1"/>
    <xf numFmtId="0" fontId="86" fillId="2" borderId="1" xfId="0" applyFont="1" applyFill="1" applyBorder="1" applyAlignment="1">
      <alignment horizontal="center"/>
    </xf>
    <xf numFmtId="0" fontId="89" fillId="2" borderId="1" xfId="0" applyFont="1" applyFill="1" applyBorder="1" applyAlignment="1">
      <alignment horizontal="center" vertical="center"/>
    </xf>
    <xf numFmtId="0" fontId="20" fillId="2" borderId="1" xfId="0" applyFont="1" applyFill="1" applyBorder="1"/>
    <xf numFmtId="0" fontId="89" fillId="2" borderId="1" xfId="0" applyFont="1" applyFill="1" applyBorder="1" applyAlignment="1">
      <alignment horizontal="center"/>
    </xf>
    <xf numFmtId="172" fontId="61" fillId="2" borderId="1" xfId="0" applyNumberFormat="1" applyFont="1" applyFill="1" applyBorder="1"/>
    <xf numFmtId="172" fontId="9" fillId="2" borderId="1" xfId="0" applyNumberFormat="1" applyFont="1" applyFill="1" applyBorder="1"/>
    <xf numFmtId="171" fontId="36" fillId="0" borderId="1" xfId="0" applyNumberFormat="1" applyFont="1" applyBorder="1"/>
    <xf numFmtId="0" fontId="90" fillId="0" borderId="1" xfId="0" applyFont="1" applyBorder="1"/>
    <xf numFmtId="170" fontId="9" fillId="2" borderId="1" xfId="0" applyNumberFormat="1" applyFont="1" applyFill="1" applyBorder="1"/>
    <xf numFmtId="3" fontId="9" fillId="2" borderId="1" xfId="0" applyNumberFormat="1" applyFont="1" applyFill="1" applyBorder="1"/>
    <xf numFmtId="169" fontId="9" fillId="2" borderId="1" xfId="0" applyNumberFormat="1" applyFont="1" applyFill="1" applyBorder="1"/>
    <xf numFmtId="0" fontId="9" fillId="2" borderId="1" xfId="0" applyFont="1" applyFill="1" applyBorder="1" applyAlignment="1">
      <alignment horizontal="center"/>
    </xf>
    <xf numFmtId="3" fontId="62" fillId="0" borderId="1" xfId="0" applyNumberFormat="1" applyFont="1" applyBorder="1" applyAlignment="1">
      <alignment horizontal="center"/>
    </xf>
    <xf numFmtId="3" fontId="17" fillId="0" borderId="1" xfId="0" applyNumberFormat="1" applyFont="1" applyBorder="1" applyAlignment="1">
      <alignment horizontal="center"/>
    </xf>
    <xf numFmtId="0" fontId="20" fillId="0" borderId="1" xfId="0" applyFont="1" applyBorder="1" applyAlignment="1">
      <alignment horizontal="center"/>
    </xf>
    <xf numFmtId="0" fontId="4" fillId="0" borderId="0" xfId="0" applyFont="1" applyAlignment="1">
      <alignment horizontal="left" vertical="center"/>
    </xf>
    <xf numFmtId="0" fontId="20" fillId="2" borderId="0" xfId="0" applyFont="1" applyFill="1" applyAlignment="1">
      <alignment horizontal="left" vertical="top"/>
    </xf>
    <xf numFmtId="0" fontId="20" fillId="2" borderId="0" xfId="0" applyFont="1" applyFill="1" applyAlignment="1">
      <alignment vertical="center"/>
    </xf>
    <xf numFmtId="3" fontId="93" fillId="2" borderId="1" xfId="0" applyNumberFormat="1" applyFont="1" applyFill="1" applyBorder="1"/>
    <xf numFmtId="0" fontId="93" fillId="2" borderId="1" xfId="0" applyFont="1" applyFill="1" applyBorder="1" applyAlignment="1">
      <alignment horizontal="center"/>
    </xf>
    <xf numFmtId="0" fontId="94" fillId="2" borderId="0" xfId="0" applyFont="1" applyFill="1" applyAlignment="1">
      <alignment horizontal="left" vertical="center" indent="1"/>
    </xf>
    <xf numFmtId="0" fontId="96" fillId="0" borderId="1" xfId="0" applyFont="1" applyBorder="1" applyAlignment="1">
      <alignment wrapText="1"/>
    </xf>
    <xf numFmtId="0" fontId="97" fillId="0" borderId="1" xfId="0" applyFont="1" applyBorder="1" applyAlignment="1">
      <alignment wrapText="1"/>
    </xf>
    <xf numFmtId="0" fontId="98" fillId="2" borderId="3" xfId="0" applyFont="1" applyFill="1" applyBorder="1" applyAlignment="1">
      <alignment wrapText="1"/>
    </xf>
    <xf numFmtId="0" fontId="101" fillId="2" borderId="3" xfId="0" applyFont="1" applyFill="1" applyBorder="1"/>
    <xf numFmtId="0" fontId="101" fillId="2" borderId="3" xfId="0" applyFont="1" applyFill="1" applyBorder="1" applyAlignment="1">
      <alignment wrapText="1"/>
    </xf>
    <xf numFmtId="0" fontId="85" fillId="2" borderId="1" xfId="0" applyFont="1" applyFill="1" applyBorder="1"/>
    <xf numFmtId="0" fontId="85" fillId="2" borderId="1" xfId="0" applyFont="1" applyFill="1" applyBorder="1" applyAlignment="1">
      <alignment wrapText="1"/>
    </xf>
    <xf numFmtId="0" fontId="85" fillId="2" borderId="1" xfId="0" applyFont="1" applyFill="1" applyBorder="1" applyAlignment="1">
      <alignment horizontal="center" wrapText="1"/>
    </xf>
    <xf numFmtId="0" fontId="85" fillId="2" borderId="1" xfId="0" applyFont="1" applyFill="1" applyBorder="1" applyAlignment="1">
      <alignment horizontal="center" vertical="center" wrapText="1"/>
    </xf>
    <xf numFmtId="0" fontId="20" fillId="2" borderId="0" xfId="0" applyFont="1" applyFill="1" applyAlignment="1">
      <alignment horizontal="left" vertical="top" wrapText="1"/>
    </xf>
    <xf numFmtId="0" fontId="62" fillId="0" borderId="2" xfId="0" applyFont="1" applyBorder="1" applyAlignment="1">
      <alignment horizontal="center"/>
    </xf>
    <xf numFmtId="0" fontId="85" fillId="2" borderId="6" xfId="0" applyFont="1" applyFill="1" applyBorder="1"/>
    <xf numFmtId="0" fontId="85" fillId="2" borderId="10" xfId="0" applyFont="1" applyFill="1" applyBorder="1"/>
    <xf numFmtId="0" fontId="85" fillId="2" borderId="2" xfId="0" applyFont="1" applyFill="1" applyBorder="1"/>
    <xf numFmtId="0" fontId="76" fillId="0" borderId="6" xfId="0" applyFont="1" applyBorder="1"/>
    <xf numFmtId="0" fontId="76" fillId="0" borderId="10" xfId="0" applyFont="1" applyBorder="1"/>
    <xf numFmtId="0" fontId="47" fillId="0" borderId="2" xfId="0" applyFont="1" applyBorder="1" applyAlignment="1">
      <alignment horizontal="left" vertical="center" indent="3"/>
    </xf>
    <xf numFmtId="0" fontId="76" fillId="0" borderId="0" xfId="0" applyFont="1"/>
    <xf numFmtId="0" fontId="47" fillId="0" borderId="0" xfId="0" applyFont="1" applyAlignment="1">
      <alignment horizontal="left" vertical="center" indent="3"/>
    </xf>
    <xf numFmtId="0" fontId="77" fillId="0" borderId="0" xfId="0" applyFont="1"/>
    <xf numFmtId="0" fontId="75" fillId="0" borderId="0" xfId="0" applyFont="1"/>
    <xf numFmtId="0" fontId="77" fillId="2" borderId="0" xfId="0" applyFont="1" applyFill="1"/>
    <xf numFmtId="0" fontId="75" fillId="10" borderId="0" xfId="0" applyFont="1" applyFill="1"/>
    <xf numFmtId="0" fontId="75" fillId="2" borderId="0" xfId="0" applyFont="1" applyFill="1"/>
    <xf numFmtId="0" fontId="76" fillId="2" borderId="0" xfId="0" applyFont="1" applyFill="1" applyAlignment="1">
      <alignment vertical="top"/>
    </xf>
    <xf numFmtId="0" fontId="76" fillId="2" borderId="0" xfId="0" applyFont="1" applyFill="1" applyAlignment="1">
      <alignment horizontal="left" vertical="top"/>
    </xf>
    <xf numFmtId="0" fontId="76" fillId="2" borderId="0" xfId="0" applyFont="1" applyFill="1" applyAlignment="1">
      <alignment horizontal="left" vertical="top" wrapText="1"/>
    </xf>
    <xf numFmtId="0" fontId="104" fillId="2" borderId="0" xfId="0" applyFont="1" applyFill="1" applyAlignment="1">
      <alignment horizontal="left" vertical="center" indent="1"/>
    </xf>
    <xf numFmtId="0" fontId="20" fillId="2" borderId="0" xfId="0" applyFont="1" applyFill="1" applyAlignment="1">
      <alignment horizontal="left" vertical="center"/>
    </xf>
    <xf numFmtId="0" fontId="64" fillId="0" borderId="1" xfId="0" applyFont="1" applyBorder="1"/>
    <xf numFmtId="3" fontId="64" fillId="0" borderId="7" xfId="0" applyNumberFormat="1" applyFont="1" applyBorder="1"/>
    <xf numFmtId="0" fontId="64" fillId="0" borderId="8" xfId="0" applyFont="1" applyBorder="1" applyAlignment="1">
      <alignment horizontal="right" indent="1"/>
    </xf>
    <xf numFmtId="0" fontId="76" fillId="0" borderId="25" xfId="0" applyFont="1" applyBorder="1"/>
    <xf numFmtId="0" fontId="64" fillId="0" borderId="9" xfId="0" applyFont="1" applyBorder="1"/>
    <xf numFmtId="3" fontId="64" fillId="0" borderId="0" xfId="0" applyNumberFormat="1" applyFont="1"/>
    <xf numFmtId="4" fontId="17" fillId="4" borderId="1" xfId="0" applyNumberFormat="1" applyFont="1" applyFill="1" applyBorder="1"/>
    <xf numFmtId="0" fontId="39" fillId="4" borderId="0" xfId="0" applyFont="1" applyFill="1"/>
    <xf numFmtId="0" fontId="82" fillId="4" borderId="0" xfId="0" applyFont="1" applyFill="1"/>
    <xf numFmtId="0" fontId="17" fillId="2" borderId="0" xfId="0" applyFont="1" applyFill="1"/>
    <xf numFmtId="0" fontId="14" fillId="2" borderId="0" xfId="0" applyFont="1" applyFill="1"/>
    <xf numFmtId="0" fontId="37" fillId="2" borderId="0" xfId="0" applyFont="1" applyFill="1"/>
    <xf numFmtId="0" fontId="39" fillId="3" borderId="0" xfId="0" applyFont="1" applyFill="1"/>
    <xf numFmtId="0" fontId="82" fillId="3" borderId="0" xfId="0" applyFont="1" applyFill="1"/>
    <xf numFmtId="0" fontId="93" fillId="2" borderId="0" xfId="0" applyFont="1" applyFill="1"/>
    <xf numFmtId="0" fontId="22" fillId="0" borderId="0" xfId="0" applyFont="1"/>
    <xf numFmtId="0" fontId="22" fillId="13" borderId="1" xfId="0" applyFont="1" applyFill="1" applyBorder="1" applyAlignment="1">
      <alignment horizontal="center" vertical="center"/>
    </xf>
    <xf numFmtId="0" fontId="108" fillId="13" borderId="1" xfId="0" applyFont="1" applyFill="1" applyBorder="1" applyAlignment="1">
      <alignment horizontal="center" vertical="center"/>
    </xf>
    <xf numFmtId="0" fontId="29" fillId="13" borderId="1" xfId="0" applyFont="1" applyFill="1" applyBorder="1"/>
    <xf numFmtId="0" fontId="93" fillId="13" borderId="1" xfId="0" applyFont="1" applyFill="1" applyBorder="1"/>
    <xf numFmtId="3" fontId="17" fillId="0" borderId="0" xfId="0" applyNumberFormat="1" applyFont="1"/>
    <xf numFmtId="0" fontId="42" fillId="3" borderId="1" xfId="0" applyFont="1" applyFill="1" applyBorder="1" applyAlignment="1">
      <alignment horizontal="center" vertical="center"/>
    </xf>
    <xf numFmtId="0" fontId="22" fillId="3" borderId="1" xfId="0" applyFont="1" applyFill="1" applyBorder="1" applyAlignment="1">
      <alignment horizontal="center" vertical="center"/>
    </xf>
    <xf numFmtId="172" fontId="9" fillId="13" borderId="1" xfId="0" applyNumberFormat="1" applyFont="1" applyFill="1" applyBorder="1" applyAlignment="1">
      <alignment horizontal="center" vertical="center"/>
    </xf>
    <xf numFmtId="0" fontId="4" fillId="0" borderId="18" xfId="0" applyFont="1" applyBorder="1"/>
    <xf numFmtId="174" fontId="4" fillId="14" borderId="1" xfId="0" applyNumberFormat="1" applyFont="1" applyFill="1" applyBorder="1" applyAlignment="1">
      <alignment horizontal="center" vertical="center"/>
    </xf>
    <xf numFmtId="0" fontId="19" fillId="13" borderId="1" xfId="0" applyFont="1" applyFill="1" applyBorder="1" applyAlignment="1">
      <alignment horizontal="center"/>
    </xf>
    <xf numFmtId="0" fontId="5" fillId="13" borderId="1" xfId="0" applyFont="1" applyFill="1" applyBorder="1" applyAlignment="1">
      <alignment horizontal="center"/>
    </xf>
    <xf numFmtId="0" fontId="6" fillId="13" borderId="1" xfId="0" applyFont="1" applyFill="1" applyBorder="1" applyAlignment="1">
      <alignment horizontal="center"/>
    </xf>
    <xf numFmtId="4" fontId="110" fillId="2" borderId="0" xfId="0" applyNumberFormat="1" applyFont="1" applyFill="1"/>
    <xf numFmtId="0" fontId="101" fillId="2" borderId="0" xfId="0" applyFont="1" applyFill="1" applyAlignment="1">
      <alignment horizontal="center" vertical="center"/>
    </xf>
    <xf numFmtId="0" fontId="101" fillId="10" borderId="0" xfId="0" applyFont="1" applyFill="1" applyAlignment="1">
      <alignment horizontal="center" vertical="center"/>
    </xf>
    <xf numFmtId="0" fontId="82" fillId="10" borderId="0" xfId="0" applyFont="1" applyFill="1"/>
    <xf numFmtId="0" fontId="101" fillId="14" borderId="0" xfId="0" applyFont="1" applyFill="1" applyAlignment="1">
      <alignment horizontal="center" vertical="center"/>
    </xf>
    <xf numFmtId="0" fontId="82" fillId="14" borderId="0" xfId="0" applyFont="1" applyFill="1"/>
    <xf numFmtId="0" fontId="20" fillId="2" borderId="0" xfId="0" applyFont="1" applyFill="1" applyAlignment="1">
      <alignment vertical="top"/>
    </xf>
    <xf numFmtId="4" fontId="110" fillId="2" borderId="1" xfId="0" applyNumberFormat="1" applyFont="1" applyFill="1" applyBorder="1"/>
    <xf numFmtId="3" fontId="110" fillId="2" borderId="1" xfId="0" applyNumberFormat="1" applyFont="1" applyFill="1" applyBorder="1"/>
    <xf numFmtId="3" fontId="112" fillId="10" borderId="1" xfId="0" applyNumberFormat="1" applyFont="1" applyFill="1" applyBorder="1" applyAlignment="1">
      <alignment horizontal="center" vertical="center"/>
    </xf>
    <xf numFmtId="3" fontId="93" fillId="2" borderId="1" xfId="0" applyNumberFormat="1" applyFont="1" applyFill="1" applyBorder="1" applyAlignment="1">
      <alignment horizontal="center" vertical="center"/>
    </xf>
    <xf numFmtId="0" fontId="101" fillId="2" borderId="1" xfId="0" applyFont="1" applyFill="1" applyBorder="1" applyAlignment="1">
      <alignment horizontal="center" vertical="center"/>
    </xf>
    <xf numFmtId="4" fontId="112" fillId="4" borderId="1" xfId="0" applyNumberFormat="1" applyFont="1" applyFill="1" applyBorder="1"/>
    <xf numFmtId="3" fontId="112" fillId="4" borderId="1" xfId="0" applyNumberFormat="1" applyFont="1" applyFill="1" applyBorder="1"/>
    <xf numFmtId="0" fontId="17" fillId="2" borderId="1" xfId="0" applyFont="1" applyFill="1" applyBorder="1"/>
    <xf numFmtId="0" fontId="9" fillId="2" borderId="1" xfId="0" applyFont="1" applyFill="1" applyBorder="1" applyAlignment="1">
      <alignment horizontal="center" wrapText="1"/>
    </xf>
    <xf numFmtId="0" fontId="113" fillId="0" borderId="0" xfId="0" applyFont="1" applyAlignment="1">
      <alignment vertical="center"/>
    </xf>
    <xf numFmtId="0" fontId="114" fillId="0" borderId="0" xfId="0" applyFont="1" applyAlignment="1">
      <alignment horizontal="right" vertical="center"/>
    </xf>
    <xf numFmtId="176" fontId="0" fillId="0" borderId="1" xfId="0" applyNumberFormat="1" applyBorder="1"/>
    <xf numFmtId="0" fontId="0" fillId="0" borderId="1" xfId="0" applyBorder="1"/>
    <xf numFmtId="176" fontId="0" fillId="0" borderId="1" xfId="1" applyNumberFormat="1" applyFont="1" applyBorder="1" applyAlignment="1">
      <alignment wrapText="1"/>
    </xf>
    <xf numFmtId="0" fontId="0" fillId="0" borderId="1" xfId="0" applyBorder="1" applyAlignment="1">
      <alignment wrapText="1"/>
    </xf>
    <xf numFmtId="0" fontId="31" fillId="0" borderId="0" xfId="0" applyFont="1"/>
    <xf numFmtId="43" fontId="0" fillId="0" borderId="1" xfId="0" applyNumberFormat="1" applyBorder="1"/>
    <xf numFmtId="43" fontId="0" fillId="0" borderId="1" xfId="1" applyFont="1" applyBorder="1"/>
    <xf numFmtId="3" fontId="108" fillId="2" borderId="0" xfId="0" applyNumberFormat="1" applyFont="1" applyFill="1" applyAlignment="1">
      <alignment vertical="center"/>
    </xf>
    <xf numFmtId="0" fontId="108" fillId="2" borderId="0" xfId="0" applyFont="1" applyFill="1" applyAlignment="1">
      <alignment vertical="center" wrapText="1"/>
    </xf>
    <xf numFmtId="4" fontId="5" fillId="2" borderId="1" xfId="0" applyNumberFormat="1" applyFont="1" applyFill="1" applyBorder="1" applyAlignment="1">
      <alignment horizontal="center" vertical="center"/>
    </xf>
    <xf numFmtId="0" fontId="25" fillId="2" borderId="1" xfId="0" applyFont="1" applyFill="1" applyBorder="1" applyAlignment="1">
      <alignment horizontal="center" vertical="center"/>
    </xf>
    <xf numFmtId="0" fontId="108" fillId="2" borderId="0" xfId="0" applyFont="1" applyFill="1" applyAlignment="1">
      <alignment vertical="center"/>
    </xf>
    <xf numFmtId="0" fontId="108" fillId="2" borderId="0" xfId="0" applyFont="1" applyFill="1"/>
    <xf numFmtId="3" fontId="5" fillId="2" borderId="1" xfId="0" applyNumberFormat="1" applyFont="1" applyFill="1" applyBorder="1" applyAlignment="1">
      <alignment horizontal="right" vertical="center" indent="2"/>
    </xf>
    <xf numFmtId="0" fontId="5" fillId="2" borderId="1" xfId="0" applyFont="1" applyFill="1" applyBorder="1" applyAlignment="1">
      <alignment horizontal="center" vertical="center"/>
    </xf>
    <xf numFmtId="0" fontId="25" fillId="2" borderId="4" xfId="0" applyFont="1" applyFill="1" applyBorder="1" applyAlignment="1">
      <alignment horizontal="center" vertical="center" wrapText="1"/>
    </xf>
    <xf numFmtId="0" fontId="117" fillId="0" borderId="0" xfId="0" applyFont="1"/>
    <xf numFmtId="3" fontId="36" fillId="0" borderId="0" xfId="0" applyNumberFormat="1" applyFont="1"/>
    <xf numFmtId="3" fontId="4" fillId="0" borderId="0" xfId="0" applyNumberFormat="1" applyFont="1"/>
    <xf numFmtId="165" fontId="4" fillId="0" borderId="0" xfId="0" applyNumberFormat="1" applyFont="1"/>
    <xf numFmtId="177" fontId="4" fillId="0" borderId="0" xfId="0" applyNumberFormat="1" applyFont="1"/>
    <xf numFmtId="14" fontId="4" fillId="0" borderId="0" xfId="0" applyNumberFormat="1" applyFont="1" applyAlignment="1">
      <alignment horizontal="center"/>
    </xf>
    <xf numFmtId="171" fontId="4" fillId="0" borderId="0" xfId="0" applyNumberFormat="1" applyFont="1"/>
    <xf numFmtId="178" fontId="4" fillId="0" borderId="0" xfId="1" applyNumberFormat="1" applyFont="1"/>
    <xf numFmtId="171" fontId="4" fillId="0" borderId="0" xfId="2" applyNumberFormat="1" applyFont="1"/>
    <xf numFmtId="173" fontId="5" fillId="2" borderId="6" xfId="2" applyNumberFormat="1" applyFont="1" applyFill="1" applyBorder="1" applyAlignment="1">
      <alignment horizontal="center" vertical="center"/>
    </xf>
    <xf numFmtId="3" fontId="5" fillId="2" borderId="6" xfId="0" applyNumberFormat="1" applyFont="1" applyFill="1" applyBorder="1" applyAlignment="1">
      <alignment horizontal="center" vertical="center"/>
    </xf>
    <xf numFmtId="0" fontId="5" fillId="2" borderId="2" xfId="0" applyFont="1" applyFill="1" applyBorder="1" applyAlignment="1">
      <alignment vertical="center"/>
    </xf>
    <xf numFmtId="0" fontId="118" fillId="2" borderId="0" xfId="0" applyFont="1" applyFill="1" applyAlignment="1">
      <alignment horizontal="left" vertical="center"/>
    </xf>
    <xf numFmtId="4" fontId="5" fillId="2" borderId="6" xfId="0" applyNumberFormat="1" applyFont="1" applyFill="1" applyBorder="1" applyAlignment="1">
      <alignment horizontal="center" vertical="center"/>
    </xf>
    <xf numFmtId="0" fontId="36" fillId="0" borderId="1" xfId="0" applyFont="1" applyBorder="1"/>
    <xf numFmtId="164" fontId="17" fillId="0" borderId="1" xfId="0" applyNumberFormat="1" applyFont="1" applyBorder="1" applyAlignment="1">
      <alignment horizontal="center"/>
    </xf>
    <xf numFmtId="0" fontId="17" fillId="0" borderId="1" xfId="0" applyFont="1" applyBorder="1" applyAlignment="1">
      <alignment horizontal="center" vertical="center" wrapText="1"/>
    </xf>
    <xf numFmtId="0" fontId="17" fillId="0" borderId="6" xfId="0" applyFont="1" applyBorder="1" applyAlignment="1">
      <alignment horizontal="center"/>
    </xf>
    <xf numFmtId="0" fontId="17" fillId="0" borderId="2" xfId="0" applyFont="1" applyBorder="1" applyAlignment="1">
      <alignment horizontal="center"/>
    </xf>
    <xf numFmtId="164" fontId="5" fillId="2" borderId="1" xfId="0"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0" fontId="39" fillId="0" borderId="0" xfId="0" applyFont="1"/>
    <xf numFmtId="166" fontId="4" fillId="0" borderId="0" xfId="1" applyNumberFormat="1" applyFont="1"/>
    <xf numFmtId="43" fontId="4" fillId="0" borderId="0" xfId="1" applyFont="1"/>
    <xf numFmtId="0" fontId="82" fillId="2" borderId="0" xfId="0" applyFont="1" applyFill="1" applyAlignment="1">
      <alignment horizontal="left" indent="4"/>
    </xf>
    <xf numFmtId="0" fontId="61" fillId="2" borderId="0" xfId="0" applyFont="1" applyFill="1"/>
    <xf numFmtId="0" fontId="20" fillId="2" borderId="1" xfId="0" applyFont="1" applyFill="1" applyBorder="1" applyAlignment="1">
      <alignment horizontal="center"/>
    </xf>
    <xf numFmtId="0" fontId="20" fillId="2" borderId="0" xfId="0" applyFont="1" applyFill="1" applyAlignment="1">
      <alignment vertical="top" wrapText="1"/>
    </xf>
    <xf numFmtId="166" fontId="4" fillId="0" borderId="0" xfId="0" applyNumberFormat="1" applyFont="1"/>
    <xf numFmtId="166" fontId="4" fillId="0" borderId="1" xfId="0" applyNumberFormat="1" applyFont="1" applyBorder="1"/>
    <xf numFmtId="0" fontId="4" fillId="0" borderId="6" xfId="0" applyFont="1" applyBorder="1"/>
    <xf numFmtId="0" fontId="4" fillId="0" borderId="2" xfId="0" applyFont="1" applyBorder="1"/>
    <xf numFmtId="166" fontId="4" fillId="0" borderId="1" xfId="1" applyNumberFormat="1" applyFont="1" applyBorder="1" applyAlignment="1">
      <alignment vertical="center"/>
    </xf>
    <xf numFmtId="0" fontId="4" fillId="0" borderId="1" xfId="0" applyFont="1" applyBorder="1" applyAlignment="1">
      <alignment horizontal="right"/>
    </xf>
    <xf numFmtId="166" fontId="4" fillId="0" borderId="1" xfId="1" applyNumberFormat="1" applyFont="1" applyBorder="1"/>
    <xf numFmtId="166" fontId="4" fillId="0" borderId="0" xfId="1" applyNumberFormat="1" applyFont="1" applyBorder="1"/>
    <xf numFmtId="0" fontId="4" fillId="0" borderId="1" xfId="0" applyFont="1" applyBorder="1" applyAlignment="1">
      <alignment wrapText="1"/>
    </xf>
    <xf numFmtId="43" fontId="4" fillId="0" borderId="0" xfId="1" applyFont="1" applyAlignment="1">
      <alignment horizontal="center"/>
    </xf>
    <xf numFmtId="43" fontId="4" fillId="0" borderId="0" xfId="1" applyFont="1" applyBorder="1"/>
    <xf numFmtId="43" fontId="4" fillId="0" borderId="1" xfId="1" applyFont="1" applyBorder="1" applyAlignment="1">
      <alignment horizontal="right"/>
    </xf>
    <xf numFmtId="175" fontId="4" fillId="0" borderId="1" xfId="1" applyNumberFormat="1" applyFont="1" applyBorder="1" applyAlignment="1">
      <alignment horizontal="right"/>
    </xf>
    <xf numFmtId="166" fontId="61" fillId="2" borderId="0" xfId="0" applyNumberFormat="1" applyFont="1" applyFill="1"/>
    <xf numFmtId="43" fontId="61" fillId="2" borderId="0" xfId="1" applyFont="1" applyFill="1" applyBorder="1" applyAlignment="1">
      <alignment wrapText="1"/>
    </xf>
    <xf numFmtId="166" fontId="61" fillId="2" borderId="0" xfId="1" applyNumberFormat="1" applyFont="1" applyFill="1" applyBorder="1" applyAlignment="1">
      <alignment wrapText="1"/>
    </xf>
    <xf numFmtId="9" fontId="20" fillId="2" borderId="1" xfId="0" applyNumberFormat="1" applyFont="1" applyFill="1" applyBorder="1"/>
    <xf numFmtId="166" fontId="20" fillId="2" borderId="0" xfId="0" applyNumberFormat="1" applyFont="1" applyFill="1" applyAlignment="1">
      <alignment horizontal="right"/>
    </xf>
    <xf numFmtId="3" fontId="20" fillId="2" borderId="0" xfId="0" applyNumberFormat="1" applyFont="1" applyFill="1" applyAlignment="1">
      <alignment vertical="center" wrapText="1"/>
    </xf>
    <xf numFmtId="0" fontId="119" fillId="2" borderId="0" xfId="0" applyFont="1" applyFill="1" applyAlignment="1">
      <alignment horizontal="left" vertical="center"/>
    </xf>
    <xf numFmtId="0" fontId="20" fillId="2" borderId="0" xfId="0" applyFont="1" applyFill="1" applyAlignment="1">
      <alignment vertical="center" wrapText="1"/>
    </xf>
    <xf numFmtId="3" fontId="20" fillId="2" borderId="1" xfId="0" applyNumberFormat="1" applyFont="1" applyFill="1" applyBorder="1" applyAlignment="1">
      <alignment vertical="center" wrapText="1"/>
    </xf>
    <xf numFmtId="166" fontId="20" fillId="2" borderId="0" xfId="0" applyNumberFormat="1" applyFont="1" applyFill="1"/>
    <xf numFmtId="166" fontId="20" fillId="2" borderId="0" xfId="1" applyNumberFormat="1" applyFont="1" applyFill="1"/>
    <xf numFmtId="0" fontId="20" fillId="2" borderId="0" xfId="0" applyFont="1" applyFill="1" applyAlignment="1">
      <alignment horizontal="center" vertical="center"/>
    </xf>
    <xf numFmtId="9" fontId="20" fillId="2" borderId="1" xfId="2" applyFont="1" applyFill="1" applyBorder="1" applyAlignment="1">
      <alignment horizontal="right" vertical="center" indent="2"/>
    </xf>
    <xf numFmtId="3" fontId="20" fillId="2" borderId="1" xfId="0" applyNumberFormat="1" applyFont="1" applyFill="1" applyBorder="1" applyAlignment="1">
      <alignment horizontal="center" vertical="center" wrapText="1"/>
    </xf>
    <xf numFmtId="37" fontId="20" fillId="2" borderId="1" xfId="1" applyNumberFormat="1" applyFont="1" applyFill="1" applyBorder="1" applyAlignment="1">
      <alignment horizontal="right" vertical="center" indent="2"/>
    </xf>
    <xf numFmtId="0" fontId="61" fillId="2" borderId="1" xfId="0" applyFont="1" applyFill="1" applyBorder="1" applyAlignment="1">
      <alignment horizontal="center" vertical="center"/>
    </xf>
    <xf numFmtId="3" fontId="20" fillId="2" borderId="1" xfId="0" applyNumberFormat="1" applyFont="1" applyFill="1" applyBorder="1" applyAlignment="1">
      <alignment horizontal="right" vertical="center" indent="2"/>
    </xf>
    <xf numFmtId="0" fontId="20" fillId="2" borderId="1" xfId="0" applyFont="1" applyFill="1" applyBorder="1" applyAlignment="1">
      <alignment horizontal="center" vertical="center"/>
    </xf>
    <xf numFmtId="3" fontId="20" fillId="2" borderId="0" xfId="0" applyNumberFormat="1" applyFont="1" applyFill="1" applyAlignment="1">
      <alignment horizontal="right" vertical="center" indent="2"/>
    </xf>
    <xf numFmtId="0" fontId="61" fillId="2" borderId="3" xfId="0" applyFont="1" applyFill="1" applyBorder="1" applyAlignment="1">
      <alignment horizontal="center" vertical="center" wrapText="1"/>
    </xf>
    <xf numFmtId="0" fontId="61" fillId="2" borderId="4" xfId="0" applyFont="1" applyFill="1" applyBorder="1" applyAlignment="1">
      <alignment horizontal="center" vertical="center" wrapText="1"/>
    </xf>
    <xf numFmtId="175" fontId="4" fillId="0" borderId="1" xfId="1" applyNumberFormat="1" applyFont="1" applyBorder="1"/>
    <xf numFmtId="0" fontId="20" fillId="0" borderId="1" xfId="0" applyFont="1" applyBorder="1"/>
    <xf numFmtId="173" fontId="4" fillId="0" borderId="1" xfId="2" applyNumberFormat="1" applyFont="1" applyBorder="1"/>
    <xf numFmtId="0" fontId="20" fillId="0" borderId="6" xfId="0" applyFont="1" applyBorder="1"/>
    <xf numFmtId="0" fontId="17" fillId="0" borderId="2" xfId="0" applyFont="1" applyBorder="1"/>
    <xf numFmtId="173" fontId="20" fillId="2" borderId="1" xfId="0" applyNumberFormat="1" applyFont="1" applyFill="1" applyBorder="1" applyAlignment="1">
      <alignment horizontal="center"/>
    </xf>
    <xf numFmtId="0" fontId="20" fillId="2" borderId="6" xfId="0" applyFont="1" applyFill="1" applyBorder="1" applyAlignment="1">
      <alignment horizontal="right"/>
    </xf>
    <xf numFmtId="0" fontId="20" fillId="2" borderId="2" xfId="0" applyFont="1" applyFill="1" applyBorder="1"/>
    <xf numFmtId="14" fontId="20" fillId="2" borderId="1" xfId="0" applyNumberFormat="1" applyFont="1" applyFill="1" applyBorder="1" applyAlignment="1">
      <alignment horizontal="center"/>
    </xf>
    <xf numFmtId="166" fontId="17" fillId="0" borderId="3" xfId="1" applyNumberFormat="1" applyFont="1" applyBorder="1"/>
    <xf numFmtId="175" fontId="17" fillId="0" borderId="1" xfId="0" applyNumberFormat="1" applyFont="1" applyBorder="1"/>
    <xf numFmtId="164" fontId="20" fillId="2" borderId="1" xfId="0" applyNumberFormat="1" applyFont="1" applyFill="1" applyBorder="1" applyAlignment="1">
      <alignment horizontal="center"/>
    </xf>
    <xf numFmtId="0" fontId="61" fillId="2" borderId="1" xfId="0" applyFont="1" applyFill="1" applyBorder="1" applyAlignment="1">
      <alignment horizontal="center"/>
    </xf>
    <xf numFmtId="0" fontId="20" fillId="2" borderId="0" xfId="0" applyFont="1" applyFill="1" applyAlignment="1">
      <alignment horizontal="left" indent="5"/>
    </xf>
    <xf numFmtId="3" fontId="20" fillId="2" borderId="0" xfId="0" applyNumberFormat="1" applyFont="1" applyFill="1" applyAlignment="1">
      <alignment horizontal="left" indent="5"/>
    </xf>
    <xf numFmtId="0" fontId="20" fillId="2" borderId="1" xfId="0" applyFont="1" applyFill="1" applyBorder="1" applyAlignment="1">
      <alignment horizontal="left" indent="5"/>
    </xf>
    <xf numFmtId="3" fontId="20" fillId="2" borderId="1" xfId="0" applyNumberFormat="1" applyFont="1" applyFill="1" applyBorder="1" applyAlignment="1">
      <alignment horizontal="left" indent="5"/>
    </xf>
    <xf numFmtId="3" fontId="9" fillId="2" borderId="1" xfId="1" applyNumberFormat="1" applyFont="1" applyFill="1" applyBorder="1" applyAlignment="1">
      <alignment horizontal="center" vertical="center"/>
    </xf>
    <xf numFmtId="0" fontId="39" fillId="2" borderId="0" xfId="0" applyFont="1" applyFill="1" applyAlignment="1">
      <alignment horizontal="left" indent="4"/>
    </xf>
    <xf numFmtId="179" fontId="85" fillId="2" borderId="1" xfId="1" applyNumberFormat="1" applyFont="1" applyFill="1" applyBorder="1" applyAlignment="1">
      <alignment horizontal="center" vertical="center" wrapText="1"/>
    </xf>
    <xf numFmtId="179" fontId="9" fillId="2" borderId="0" xfId="1" applyNumberFormat="1" applyFont="1" applyFill="1" applyBorder="1" applyAlignment="1">
      <alignment horizontal="center"/>
    </xf>
    <xf numFmtId="179" fontId="9" fillId="2" borderId="1" xfId="1" applyNumberFormat="1" applyFont="1" applyFill="1" applyBorder="1" applyAlignment="1">
      <alignment horizontal="center"/>
    </xf>
    <xf numFmtId="179" fontId="85" fillId="2" borderId="1" xfId="1" applyNumberFormat="1" applyFont="1" applyFill="1" applyBorder="1" applyAlignment="1">
      <alignment horizontal="center"/>
    </xf>
    <xf numFmtId="0" fontId="9" fillId="2" borderId="1" xfId="0" applyFont="1" applyFill="1" applyBorder="1" applyAlignment="1">
      <alignment horizontal="center" vertical="center"/>
    </xf>
    <xf numFmtId="4" fontId="4" fillId="0" borderId="0" xfId="0" applyNumberFormat="1" applyFont="1"/>
    <xf numFmtId="0" fontId="4" fillId="0" borderId="0" xfId="0" quotePrefix="1" applyFont="1"/>
    <xf numFmtId="9" fontId="4" fillId="0" borderId="0" xfId="0" applyNumberFormat="1" applyFont="1"/>
    <xf numFmtId="0" fontId="4" fillId="0" borderId="0" xfId="0" applyFont="1" applyAlignment="1">
      <alignment vertical="center"/>
    </xf>
    <xf numFmtId="4" fontId="17" fillId="0" borderId="0" xfId="0" applyNumberFormat="1" applyFont="1"/>
    <xf numFmtId="4" fontId="17" fillId="0" borderId="0" xfId="3" applyNumberFormat="1" applyFont="1" applyFill="1" applyAlignment="1"/>
    <xf numFmtId="4" fontId="17" fillId="0" borderId="0" xfId="3" applyNumberFormat="1" applyFont="1" applyFill="1" applyBorder="1" applyAlignment="1"/>
    <xf numFmtId="0" fontId="17" fillId="0" borderId="12" xfId="0" applyFont="1" applyBorder="1" applyAlignment="1">
      <alignment horizontal="center" wrapText="1"/>
    </xf>
    <xf numFmtId="0" fontId="121" fillId="0" borderId="0" xfId="0" applyFont="1"/>
    <xf numFmtId="180" fontId="4" fillId="0" borderId="0" xfId="0" applyNumberFormat="1" applyFont="1" applyAlignment="1">
      <alignment horizontal="left"/>
    </xf>
    <xf numFmtId="1" fontId="17" fillId="0" borderId="0" xfId="0" applyNumberFormat="1" applyFont="1" applyAlignment="1">
      <alignment vertical="center"/>
    </xf>
    <xf numFmtId="0" fontId="17" fillId="0" borderId="0" xfId="0" applyFont="1" applyAlignment="1">
      <alignment vertical="center"/>
    </xf>
    <xf numFmtId="181" fontId="17" fillId="0" borderId="0" xfId="3" applyNumberFormat="1" applyFont="1" applyFill="1" applyBorder="1" applyAlignment="1">
      <alignment vertical="center"/>
    </xf>
    <xf numFmtId="0" fontId="17" fillId="0" borderId="0" xfId="0" applyFont="1" applyAlignment="1">
      <alignment horizontal="center" vertical="center"/>
    </xf>
    <xf numFmtId="182" fontId="17" fillId="0" borderId="12" xfId="3" applyNumberFormat="1" applyFont="1" applyFill="1" applyBorder="1" applyAlignment="1">
      <alignment horizontal="center" vertical="center"/>
    </xf>
    <xf numFmtId="0" fontId="17" fillId="0" borderId="12" xfId="0" applyFont="1" applyBorder="1" applyAlignment="1">
      <alignment horizontal="center" vertical="center"/>
    </xf>
    <xf numFmtId="182" fontId="17" fillId="0" borderId="0" xfId="3" applyNumberFormat="1" applyFont="1" applyFill="1" applyBorder="1" applyAlignment="1">
      <alignment horizontal="center" vertical="center"/>
    </xf>
    <xf numFmtId="182" fontId="17" fillId="0" borderId="0" xfId="3" applyNumberFormat="1" applyFont="1" applyFill="1" applyBorder="1" applyAlignment="1">
      <alignment horizontal="left" vertical="center"/>
    </xf>
    <xf numFmtId="0" fontId="17" fillId="0" borderId="12" xfId="0" applyFont="1" applyBorder="1" applyAlignment="1">
      <alignment horizontal="center"/>
    </xf>
    <xf numFmtId="0" fontId="20" fillId="2" borderId="0" xfId="0" quotePrefix="1" applyFont="1" applyFill="1" applyAlignment="1">
      <alignment vertical="center"/>
    </xf>
    <xf numFmtId="0" fontId="122" fillId="2" borderId="0" xfId="0" applyFont="1" applyFill="1" applyAlignment="1">
      <alignment horizontal="center"/>
    </xf>
    <xf numFmtId="9" fontId="20" fillId="2" borderId="1" xfId="0" applyNumberFormat="1" applyFont="1" applyFill="1" applyBorder="1" applyAlignment="1">
      <alignment horizontal="center" vertical="center"/>
    </xf>
    <xf numFmtId="3" fontId="20" fillId="2" borderId="1" xfId="0" applyNumberFormat="1" applyFont="1" applyFill="1" applyBorder="1" applyAlignment="1">
      <alignment horizontal="center" vertical="center"/>
    </xf>
    <xf numFmtId="43" fontId="17" fillId="0" borderId="0" xfId="0" applyNumberFormat="1" applyFont="1"/>
    <xf numFmtId="166" fontId="17" fillId="0" borderId="0" xfId="0" applyNumberFormat="1" applyFont="1"/>
    <xf numFmtId="4" fontId="4" fillId="0" borderId="12" xfId="0" applyNumberFormat="1" applyFont="1" applyBorder="1"/>
    <xf numFmtId="0" fontId="4" fillId="0" borderId="12" xfId="0" applyFont="1" applyBorder="1"/>
    <xf numFmtId="4" fontId="4" fillId="0" borderId="0" xfId="3" applyNumberFormat="1" applyFont="1" applyFill="1" applyBorder="1"/>
    <xf numFmtId="4" fontId="121" fillId="0" borderId="0" xfId="0" applyNumberFormat="1" applyFont="1"/>
    <xf numFmtId="9" fontId="4" fillId="0" borderId="12" xfId="2" applyFont="1" applyFill="1" applyBorder="1"/>
    <xf numFmtId="173" fontId="4" fillId="0" borderId="12" xfId="2" applyNumberFormat="1" applyFont="1" applyFill="1" applyBorder="1"/>
    <xf numFmtId="0" fontId="4" fillId="0" borderId="12" xfId="0" applyFont="1" applyBorder="1" applyAlignment="1">
      <alignment horizontal="center" vertical="center"/>
    </xf>
    <xf numFmtId="0" fontId="4" fillId="0" borderId="12" xfId="0" applyFont="1" applyBorder="1" applyAlignment="1">
      <alignment vertical="top"/>
    </xf>
    <xf numFmtId="0" fontId="4" fillId="0" borderId="0" xfId="0" applyFont="1" applyAlignment="1">
      <alignment vertical="top"/>
    </xf>
    <xf numFmtId="9" fontId="17" fillId="0" borderId="0" xfId="0" applyNumberFormat="1" applyFont="1"/>
    <xf numFmtId="0" fontId="20" fillId="2" borderId="0" xfId="0" quotePrefix="1" applyFont="1" applyFill="1"/>
    <xf numFmtId="173" fontId="4" fillId="0" borderId="1" xfId="0" applyNumberFormat="1" applyFont="1" applyBorder="1" applyAlignment="1">
      <alignment horizontal="center" vertical="center"/>
    </xf>
    <xf numFmtId="0" fontId="4" fillId="0" borderId="2" xfId="0" applyFont="1" applyBorder="1" applyAlignment="1">
      <alignment vertical="center"/>
    </xf>
    <xf numFmtId="0" fontId="36" fillId="0" borderId="1" xfId="0" applyFont="1" applyBorder="1" applyAlignment="1">
      <alignment horizontal="center" vertical="center"/>
    </xf>
    <xf numFmtId="0" fontId="4" fillId="0" borderId="11" xfId="0" applyFont="1" applyBorder="1"/>
    <xf numFmtId="0" fontId="0" fillId="0" borderId="13" xfId="0" applyBorder="1" applyAlignment="1">
      <alignment vertical="top"/>
    </xf>
    <xf numFmtId="0" fontId="4" fillId="0" borderId="14" xfId="0" applyFont="1" applyBorder="1"/>
    <xf numFmtId="0" fontId="0" fillId="0" borderId="16" xfId="0" applyBorder="1" applyAlignment="1">
      <alignment vertical="top"/>
    </xf>
    <xf numFmtId="9" fontId="4" fillId="0" borderId="0" xfId="0" applyNumberFormat="1" applyFont="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xf>
    <xf numFmtId="3" fontId="4" fillId="0" borderId="0" xfId="0" applyNumberFormat="1" applyFont="1" applyAlignment="1">
      <alignment horizontal="center"/>
    </xf>
    <xf numFmtId="0" fontId="61" fillId="2" borderId="1" xfId="0" applyFont="1" applyFill="1" applyBorder="1" applyAlignment="1">
      <alignment vertical="center"/>
    </xf>
    <xf numFmtId="0" fontId="20" fillId="2" borderId="1" xfId="0" applyFont="1" applyFill="1" applyBorder="1" applyAlignment="1">
      <alignment horizontal="right" vertical="center"/>
    </xf>
    <xf numFmtId="0" fontId="61" fillId="2" borderId="1" xfId="0" applyFont="1" applyFill="1" applyBorder="1" applyAlignment="1">
      <alignment vertical="center" wrapText="1"/>
    </xf>
    <xf numFmtId="0" fontId="20" fillId="2" borderId="1" xfId="0" applyFont="1" applyFill="1" applyBorder="1" applyAlignment="1">
      <alignment vertical="top"/>
    </xf>
    <xf numFmtId="4" fontId="17" fillId="0" borderId="0" xfId="0" applyNumberFormat="1" applyFont="1" applyAlignment="1">
      <alignment horizontal="center"/>
    </xf>
    <xf numFmtId="173" fontId="17" fillId="0" borderId="0" xfId="2" applyNumberFormat="1" applyFont="1" applyFill="1" applyBorder="1" applyAlignment="1">
      <alignment horizontal="center"/>
    </xf>
    <xf numFmtId="0" fontId="17" fillId="0" borderId="0" xfId="0" applyFont="1" applyAlignment="1">
      <alignment horizontal="right" vertical="center" wrapText="1"/>
    </xf>
    <xf numFmtId="0" fontId="17" fillId="0" borderId="0" xfId="0" applyFont="1" applyAlignment="1">
      <alignment horizontal="center" wrapText="1"/>
    </xf>
    <xf numFmtId="183" fontId="17" fillId="0" borderId="0" xfId="0" applyNumberFormat="1" applyFont="1" applyAlignment="1">
      <alignment horizontal="center"/>
    </xf>
    <xf numFmtId="183" fontId="17" fillId="0" borderId="1" xfId="0" applyNumberFormat="1" applyFont="1" applyBorder="1" applyAlignment="1">
      <alignment horizontal="center"/>
    </xf>
    <xf numFmtId="0" fontId="17" fillId="0" borderId="1" xfId="0" applyFont="1" applyBorder="1" applyAlignment="1">
      <alignment horizontal="left"/>
    </xf>
    <xf numFmtId="9" fontId="17" fillId="0" borderId="1" xfId="0" applyNumberFormat="1" applyFont="1" applyBorder="1" applyAlignment="1">
      <alignment horizontal="center"/>
    </xf>
    <xf numFmtId="183" fontId="17" fillId="0" borderId="1" xfId="2" applyNumberFormat="1" applyFont="1" applyFill="1" applyBorder="1" applyAlignment="1">
      <alignment horizontal="center"/>
    </xf>
    <xf numFmtId="0" fontId="17" fillId="0" borderId="1" xfId="0" applyFont="1" applyBorder="1" applyAlignment="1">
      <alignment horizontal="center" wrapText="1"/>
    </xf>
    <xf numFmtId="9" fontId="20" fillId="2" borderId="0" xfId="0" applyNumberFormat="1" applyFont="1" applyFill="1" applyAlignment="1">
      <alignment horizontal="center"/>
    </xf>
    <xf numFmtId="0" fontId="20" fillId="2" borderId="6" xfId="0" applyFont="1" applyFill="1" applyBorder="1"/>
    <xf numFmtId="0" fontId="20" fillId="2" borderId="2" xfId="0" applyFont="1" applyFill="1" applyBorder="1" applyAlignment="1">
      <alignment vertical="center"/>
    </xf>
    <xf numFmtId="10" fontId="20" fillId="2" borderId="1" xfId="0" applyNumberFormat="1" applyFont="1" applyFill="1" applyBorder="1" applyAlignment="1">
      <alignment horizontal="center" vertical="center"/>
    </xf>
    <xf numFmtId="0" fontId="20" fillId="2" borderId="1" xfId="0" applyFont="1" applyFill="1" applyBorder="1" applyAlignment="1">
      <alignment wrapText="1"/>
    </xf>
    <xf numFmtId="10" fontId="20" fillId="2" borderId="1" xfId="0" applyNumberFormat="1" applyFont="1" applyFill="1" applyBorder="1" applyAlignment="1">
      <alignment horizontal="center"/>
    </xf>
    <xf numFmtId="0" fontId="20" fillId="2" borderId="1" xfId="0" applyFont="1" applyFill="1" applyBorder="1" applyAlignment="1">
      <alignment vertical="center"/>
    </xf>
    <xf numFmtId="10" fontId="20" fillId="2" borderId="0" xfId="0" applyNumberFormat="1" applyFont="1" applyFill="1" applyAlignment="1">
      <alignment horizontal="center"/>
    </xf>
    <xf numFmtId="10" fontId="20"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17" fillId="0" borderId="0" xfId="0" applyFont="1" applyAlignment="1">
      <alignment horizontal="left" vertical="center"/>
    </xf>
    <xf numFmtId="4" fontId="17" fillId="0" borderId="12" xfId="0" applyNumberFormat="1" applyFont="1" applyBorder="1" applyAlignment="1">
      <alignment horizontal="center"/>
    </xf>
    <xf numFmtId="0" fontId="17" fillId="0" borderId="12" xfId="0" applyFont="1" applyBorder="1" applyAlignment="1">
      <alignment horizontal="center" vertical="center" wrapText="1"/>
    </xf>
    <xf numFmtId="0" fontId="17" fillId="0" borderId="0" xfId="0" applyFont="1" applyAlignment="1">
      <alignment horizontal="center" vertical="center" wrapText="1"/>
    </xf>
    <xf numFmtId="184" fontId="17" fillId="0" borderId="0" xfId="0" applyNumberFormat="1" applyFont="1" applyAlignment="1">
      <alignment horizontal="center"/>
    </xf>
    <xf numFmtId="3" fontId="17" fillId="0" borderId="0" xfId="0" applyNumberFormat="1" applyFont="1" applyAlignment="1">
      <alignment horizontal="center"/>
    </xf>
    <xf numFmtId="3" fontId="17" fillId="0" borderId="12" xfId="0" applyNumberFormat="1" applyFont="1" applyBorder="1" applyAlignment="1">
      <alignment horizontal="center"/>
    </xf>
    <xf numFmtId="0" fontId="17" fillId="0" borderId="12" xfId="0" applyFont="1" applyBorder="1"/>
    <xf numFmtId="185" fontId="17" fillId="0" borderId="0" xfId="0" applyNumberFormat="1" applyFont="1" applyAlignment="1">
      <alignment horizontal="center"/>
    </xf>
    <xf numFmtId="0" fontId="17" fillId="0" borderId="0" xfId="0" quotePrefix="1" applyFont="1"/>
    <xf numFmtId="185" fontId="17" fillId="0" borderId="0" xfId="2" applyNumberFormat="1" applyFont="1" applyFill="1" applyAlignment="1">
      <alignment horizontal="center"/>
    </xf>
    <xf numFmtId="185" fontId="17" fillId="0" borderId="12" xfId="2" applyNumberFormat="1" applyFont="1" applyFill="1" applyBorder="1" applyAlignment="1">
      <alignment horizontal="center"/>
    </xf>
    <xf numFmtId="10" fontId="17" fillId="0" borderId="0" xfId="2" applyNumberFormat="1" applyFont="1" applyFill="1" applyAlignment="1">
      <alignment horizontal="center"/>
    </xf>
    <xf numFmtId="0" fontId="62" fillId="0" borderId="0" xfId="0" applyFont="1" applyAlignment="1">
      <alignment horizontal="center"/>
    </xf>
    <xf numFmtId="169" fontId="4" fillId="0" borderId="0" xfId="0" applyNumberFormat="1" applyFont="1" applyAlignment="1">
      <alignment horizontal="center"/>
    </xf>
    <xf numFmtId="14" fontId="17" fillId="0" borderId="0" xfId="0" applyNumberFormat="1" applyFont="1" applyAlignment="1">
      <alignment horizontal="center"/>
    </xf>
    <xf numFmtId="10" fontId="4" fillId="0" borderId="0" xfId="2" applyNumberFormat="1" applyFont="1" applyAlignment="1">
      <alignment horizontal="center"/>
    </xf>
    <xf numFmtId="10" fontId="4" fillId="0" borderId="12" xfId="2" applyNumberFormat="1" applyFont="1" applyBorder="1" applyAlignment="1">
      <alignment horizontal="center"/>
    </xf>
    <xf numFmtId="171" fontId="4" fillId="0" borderId="12" xfId="0" applyNumberFormat="1" applyFont="1" applyBorder="1" applyAlignment="1">
      <alignment horizontal="center"/>
    </xf>
    <xf numFmtId="10" fontId="17" fillId="0" borderId="12" xfId="2" applyNumberFormat="1" applyFont="1" applyFill="1" applyBorder="1" applyAlignment="1">
      <alignment horizontal="center"/>
    </xf>
    <xf numFmtId="171" fontId="4" fillId="0" borderId="0" xfId="0" applyNumberFormat="1" applyFont="1" applyAlignment="1">
      <alignment horizontal="center"/>
    </xf>
    <xf numFmtId="173" fontId="17" fillId="0" borderId="12" xfId="2" applyNumberFormat="1" applyFont="1" applyFill="1" applyBorder="1" applyAlignment="1">
      <alignment horizontal="center"/>
    </xf>
    <xf numFmtId="173" fontId="17" fillId="0" borderId="0" xfId="0" applyNumberFormat="1" applyFont="1" applyAlignment="1">
      <alignment horizontal="center"/>
    </xf>
    <xf numFmtId="173" fontId="17" fillId="0" borderId="0" xfId="2" applyNumberFormat="1" applyFont="1" applyFill="1" applyAlignment="1">
      <alignment horizontal="center"/>
    </xf>
    <xf numFmtId="3" fontId="20" fillId="2" borderId="1" xfId="0" applyNumberFormat="1" applyFont="1" applyFill="1" applyBorder="1" applyAlignment="1">
      <alignment horizontal="center"/>
    </xf>
    <xf numFmtId="9" fontId="20" fillId="2" borderId="1" xfId="0" applyNumberFormat="1" applyFont="1" applyFill="1" applyBorder="1" applyAlignment="1">
      <alignment horizontal="center"/>
    </xf>
    <xf numFmtId="17" fontId="20" fillId="2" borderId="1" xfId="0" quotePrefix="1" applyNumberFormat="1" applyFont="1" applyFill="1" applyBorder="1" applyAlignment="1">
      <alignment horizontal="center" vertical="center" wrapText="1"/>
    </xf>
    <xf numFmtId="166" fontId="4" fillId="0" borderId="0" xfId="0" applyNumberFormat="1" applyFont="1" applyAlignment="1">
      <alignment horizontal="center"/>
    </xf>
    <xf numFmtId="9" fontId="4" fillId="0" borderId="0" xfId="2" applyFont="1" applyFill="1" applyBorder="1" applyAlignment="1">
      <alignment horizontal="center"/>
    </xf>
    <xf numFmtId="3" fontId="4" fillId="0" borderId="0" xfId="3" applyNumberFormat="1" applyFont="1" applyFill="1" applyBorder="1" applyAlignment="1">
      <alignment horizontal="center"/>
    </xf>
    <xf numFmtId="0" fontId="120" fillId="2" borderId="0" xfId="0" applyFont="1" applyFill="1" applyAlignment="1">
      <alignment vertical="center"/>
    </xf>
    <xf numFmtId="9" fontId="20" fillId="2" borderId="1" xfId="0" applyNumberFormat="1" applyFont="1" applyFill="1" applyBorder="1" applyAlignment="1">
      <alignment horizontal="right" vertical="center" wrapText="1"/>
    </xf>
    <xf numFmtId="0" fontId="20" fillId="2" borderId="10" xfId="0" applyFont="1" applyFill="1" applyBorder="1"/>
    <xf numFmtId="0" fontId="4" fillId="2" borderId="10" xfId="0" applyFont="1" applyFill="1" applyBorder="1"/>
    <xf numFmtId="3" fontId="20" fillId="2" borderId="1" xfId="0" applyNumberFormat="1" applyFont="1" applyFill="1" applyBorder="1" applyAlignment="1">
      <alignment horizontal="right" vertical="center" wrapText="1"/>
    </xf>
    <xf numFmtId="185" fontId="4" fillId="12" borderId="0" xfId="2" applyNumberFormat="1" applyFont="1" applyFill="1"/>
    <xf numFmtId="0" fontId="6" fillId="2" borderId="0" xfId="0" applyFont="1" applyFill="1" applyAlignment="1">
      <alignment horizontal="left" indent="5"/>
    </xf>
    <xf numFmtId="0" fontId="5" fillId="2" borderId="0" xfId="0" applyFont="1" applyFill="1" applyAlignment="1">
      <alignment horizontal="left" indent="5"/>
    </xf>
    <xf numFmtId="0" fontId="6" fillId="2" borderId="0" xfId="0" applyFont="1" applyFill="1" applyAlignment="1">
      <alignment horizontal="left" indent="6"/>
    </xf>
    <xf numFmtId="9" fontId="5" fillId="2" borderId="1" xfId="2" applyFont="1" applyFill="1" applyBorder="1" applyAlignment="1">
      <alignment horizontal="center"/>
    </xf>
    <xf numFmtId="9" fontId="5" fillId="2" borderId="0" xfId="2" applyFont="1" applyFill="1" applyBorder="1" applyAlignment="1">
      <alignment horizontal="center"/>
    </xf>
    <xf numFmtId="2" fontId="36" fillId="0" borderId="0" xfId="0" applyNumberFormat="1" applyFont="1"/>
    <xf numFmtId="169" fontId="36" fillId="0" borderId="0" xfId="0" applyNumberFormat="1" applyFont="1"/>
    <xf numFmtId="169" fontId="62" fillId="0" borderId="0" xfId="0" applyNumberFormat="1" applyFont="1"/>
    <xf numFmtId="37" fontId="5" fillId="2" borderId="0" xfId="1" applyNumberFormat="1" applyFont="1" applyFill="1" applyBorder="1" applyAlignment="1">
      <alignment horizontal="center"/>
    </xf>
    <xf numFmtId="0" fontId="5" fillId="2" borderId="0" xfId="0" applyFont="1" applyFill="1" applyAlignment="1">
      <alignment horizontal="right"/>
    </xf>
    <xf numFmtId="9" fontId="5" fillId="2" borderId="1" xfId="0" applyNumberFormat="1" applyFont="1" applyFill="1" applyBorder="1" applyAlignment="1">
      <alignment horizontal="center"/>
    </xf>
    <xf numFmtId="37" fontId="5" fillId="2" borderId="0" xfId="1" applyNumberFormat="1" applyFont="1" applyFill="1" applyBorder="1"/>
    <xf numFmtId="166" fontId="5" fillId="2" borderId="0" xfId="1" applyNumberFormat="1" applyFont="1" applyFill="1" applyBorder="1"/>
    <xf numFmtId="186" fontId="5" fillId="2" borderId="0" xfId="0" applyNumberFormat="1" applyFont="1" applyFill="1" applyAlignment="1">
      <alignment horizontal="left"/>
    </xf>
    <xf numFmtId="186" fontId="5" fillId="2" borderId="0" xfId="0" applyNumberFormat="1" applyFont="1" applyFill="1" applyAlignment="1">
      <alignment horizontal="center"/>
    </xf>
    <xf numFmtId="173" fontId="25" fillId="2" borderId="1" xfId="0" applyNumberFormat="1" applyFont="1" applyFill="1" applyBorder="1" applyAlignment="1">
      <alignment horizontal="center" vertical="center" wrapText="1"/>
    </xf>
    <xf numFmtId="3" fontId="25" fillId="2" borderId="1" xfId="0" applyNumberFormat="1" applyFont="1" applyFill="1" applyBorder="1" applyAlignment="1">
      <alignment horizontal="center" vertical="center" wrapText="1"/>
    </xf>
    <xf numFmtId="173"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25" fillId="2" borderId="3" xfId="0" applyFont="1" applyFill="1" applyBorder="1" applyAlignment="1">
      <alignment horizontal="center" wrapText="1"/>
    </xf>
    <xf numFmtId="0" fontId="25" fillId="2" borderId="10" xfId="0" applyFont="1" applyFill="1" applyBorder="1" applyAlignment="1">
      <alignment horizontal="center" vertical="center" wrapText="1"/>
    </xf>
    <xf numFmtId="0" fontId="25" fillId="2" borderId="4" xfId="0" applyFont="1" applyFill="1" applyBorder="1" applyAlignment="1">
      <alignment horizontal="center" wrapText="1"/>
    </xf>
    <xf numFmtId="0" fontId="25" fillId="2" borderId="0" xfId="0" applyFont="1" applyFill="1"/>
    <xf numFmtId="0" fontId="25" fillId="8" borderId="0" xfId="0" applyFont="1" applyFill="1"/>
    <xf numFmtId="177" fontId="0" fillId="8" borderId="1" xfId="0" applyNumberFormat="1" applyFill="1" applyBorder="1"/>
    <xf numFmtId="0" fontId="0" fillId="8" borderId="1" xfId="0" applyFill="1" applyBorder="1"/>
    <xf numFmtId="10" fontId="0" fillId="0" borderId="1" xfId="2" applyNumberFormat="1" applyFont="1" applyBorder="1"/>
    <xf numFmtId="0" fontId="40" fillId="0" borderId="0" xfId="0" applyFont="1" applyAlignment="1">
      <alignment horizontal="center"/>
    </xf>
    <xf numFmtId="10" fontId="0" fillId="8" borderId="1" xfId="2" applyNumberFormat="1" applyFont="1" applyFill="1" applyBorder="1"/>
    <xf numFmtId="9" fontId="4" fillId="2" borderId="0" xfId="0" applyNumberFormat="1" applyFont="1" applyFill="1" applyAlignment="1">
      <alignment horizontal="center" vertical="center" wrapText="1"/>
    </xf>
    <xf numFmtId="9" fontId="4" fillId="2" borderId="0" xfId="0" applyNumberFormat="1" applyFont="1" applyFill="1" applyAlignment="1">
      <alignment horizontal="right" vertical="center" wrapText="1"/>
    </xf>
    <xf numFmtId="0" fontId="4" fillId="2" borderId="0" xfId="0" applyFont="1" applyFill="1" applyAlignment="1">
      <alignment horizontal="center" vertical="center" wrapText="1"/>
    </xf>
    <xf numFmtId="9" fontId="5" fillId="2" borderId="1" xfId="0" applyNumberFormat="1" applyFont="1" applyFill="1" applyBorder="1" applyAlignment="1">
      <alignment horizontal="center" vertical="center" wrapText="1"/>
    </xf>
    <xf numFmtId="9" fontId="5"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5" fillId="2" borderId="0" xfId="0" applyFont="1" applyFill="1" applyAlignment="1">
      <alignment horizontal="left" wrapText="1"/>
    </xf>
    <xf numFmtId="0" fontId="36" fillId="2" borderId="0" xfId="0" applyFont="1" applyFill="1"/>
    <xf numFmtId="166" fontId="37" fillId="0" borderId="0" xfId="1" applyNumberFormat="1" applyFont="1" applyFill="1" applyBorder="1"/>
    <xf numFmtId="3" fontId="37" fillId="0" borderId="0" xfId="0" applyNumberFormat="1" applyFont="1"/>
    <xf numFmtId="171" fontId="37" fillId="0" borderId="0" xfId="0" applyNumberFormat="1" applyFont="1"/>
    <xf numFmtId="3" fontId="62" fillId="0" borderId="1" xfId="0" applyNumberFormat="1" applyFont="1" applyBorder="1"/>
    <xf numFmtId="187" fontId="5" fillId="2" borderId="1" xfId="0" applyNumberFormat="1" applyFont="1" applyFill="1" applyBorder="1" applyAlignment="1">
      <alignment horizontal="center" wrapText="1"/>
    </xf>
    <xf numFmtId="0" fontId="5" fillId="2" borderId="0" xfId="0" applyFont="1" applyFill="1" applyAlignment="1">
      <alignment horizontal="right" wrapText="1"/>
    </xf>
    <xf numFmtId="9" fontId="5" fillId="2" borderId="1" xfId="0" applyNumberFormat="1" applyFont="1" applyFill="1" applyBorder="1" applyAlignment="1">
      <alignment horizontal="center" wrapText="1"/>
    </xf>
    <xf numFmtId="10" fontId="5" fillId="2" borderId="1" xfId="0" applyNumberFormat="1" applyFont="1" applyFill="1" applyBorder="1" applyAlignment="1">
      <alignment horizontal="left" indent="2"/>
    </xf>
    <xf numFmtId="185" fontId="17" fillId="0" borderId="1" xfId="2" applyNumberFormat="1" applyFont="1" applyBorder="1"/>
    <xf numFmtId="188" fontId="17" fillId="0" borderId="1" xfId="2" applyNumberFormat="1" applyFont="1" applyFill="1" applyBorder="1"/>
    <xf numFmtId="188" fontId="17" fillId="0" borderId="1" xfId="2" applyNumberFormat="1" applyFont="1" applyBorder="1"/>
    <xf numFmtId="188" fontId="17" fillId="0" borderId="1" xfId="2" applyNumberFormat="1" applyFont="1" applyFill="1" applyBorder="1" applyAlignment="1">
      <alignment wrapText="1"/>
    </xf>
    <xf numFmtId="0" fontId="17" fillId="0" borderId="1" xfId="0" applyFont="1" applyBorder="1" applyAlignment="1">
      <alignment wrapText="1"/>
    </xf>
    <xf numFmtId="9" fontId="17" fillId="0" borderId="1" xfId="2" applyFont="1" applyFill="1" applyBorder="1" applyAlignment="1">
      <alignment wrapText="1"/>
    </xf>
    <xf numFmtId="185" fontId="17" fillId="0" borderId="1" xfId="2" applyNumberFormat="1" applyFont="1" applyFill="1" applyBorder="1"/>
    <xf numFmtId="0" fontId="125" fillId="0" borderId="1" xfId="0" applyFont="1" applyBorder="1" applyAlignment="1">
      <alignment horizontal="left"/>
    </xf>
    <xf numFmtId="0" fontId="17" fillId="0" borderId="6" xfId="0" applyFont="1" applyBorder="1"/>
    <xf numFmtId="0" fontId="17" fillId="0" borderId="10" xfId="0" applyFont="1" applyBorder="1"/>
    <xf numFmtId="0" fontId="17" fillId="0" borderId="10" xfId="0" applyFont="1" applyBorder="1" applyAlignment="1">
      <alignment wrapText="1"/>
    </xf>
    <xf numFmtId="10" fontId="17" fillId="0" borderId="1" xfId="2" applyNumberFormat="1" applyFont="1" applyFill="1" applyBorder="1"/>
    <xf numFmtId="10" fontId="62" fillId="0" borderId="1" xfId="0" applyNumberFormat="1" applyFont="1" applyBorder="1"/>
    <xf numFmtId="0" fontId="4" fillId="0" borderId="10" xfId="0" applyFont="1" applyBorder="1"/>
    <xf numFmtId="10" fontId="5" fillId="2" borderId="1" xfId="0" applyNumberFormat="1" applyFont="1" applyFill="1" applyBorder="1" applyAlignment="1">
      <alignment horizontal="center" vertical="center"/>
    </xf>
    <xf numFmtId="168" fontId="17" fillId="0" borderId="1" xfId="0" applyNumberFormat="1" applyFont="1" applyBorder="1" applyAlignment="1">
      <alignment horizontal="center"/>
    </xf>
    <xf numFmtId="10" fontId="28" fillId="0" borderId="0" xfId="2" applyNumberFormat="1" applyFont="1" applyFill="1" applyBorder="1"/>
    <xf numFmtId="173" fontId="17" fillId="0" borderId="0" xfId="2" applyNumberFormat="1" applyFont="1"/>
    <xf numFmtId="0" fontId="14" fillId="0" borderId="1" xfId="0" applyFont="1" applyBorder="1"/>
    <xf numFmtId="0" fontId="125" fillId="0" borderId="0" xfId="0" applyFont="1" applyAlignment="1">
      <alignment horizontal="center"/>
    </xf>
    <xf numFmtId="2" fontId="17" fillId="0" borderId="6" xfId="0" applyNumberFormat="1" applyFont="1" applyBorder="1" applyAlignment="1">
      <alignment horizontal="center"/>
    </xf>
    <xf numFmtId="173" fontId="17" fillId="0" borderId="1" xfId="2" applyNumberFormat="1" applyFont="1" applyBorder="1" applyAlignment="1">
      <alignment horizontal="center"/>
    </xf>
    <xf numFmtId="173" fontId="17" fillId="0" borderId="1" xfId="2" applyNumberFormat="1" applyFont="1" applyBorder="1"/>
    <xf numFmtId="10" fontId="28" fillId="0" borderId="1" xfId="2" applyNumberFormat="1" applyFont="1" applyFill="1" applyBorder="1"/>
    <xf numFmtId="9" fontId="5" fillId="2" borderId="0" xfId="2" applyFont="1" applyFill="1" applyBorder="1" applyAlignment="1">
      <alignment horizontal="center" vertical="center"/>
    </xf>
    <xf numFmtId="9" fontId="5" fillId="2" borderId="1" xfId="2" applyFont="1" applyFill="1" applyBorder="1" applyAlignment="1">
      <alignment horizontal="center" vertical="center"/>
    </xf>
    <xf numFmtId="3" fontId="5" fillId="2" borderId="0" xfId="0" applyNumberFormat="1" applyFont="1" applyFill="1" applyAlignment="1">
      <alignment horizontal="left" vertical="center"/>
    </xf>
    <xf numFmtId="189" fontId="5" fillId="2" borderId="0" xfId="0" applyNumberFormat="1" applyFont="1" applyFill="1" applyAlignment="1">
      <alignment horizontal="center" vertical="center"/>
    </xf>
    <xf numFmtId="189" fontId="5" fillId="2" borderId="0" xfId="0" applyNumberFormat="1" applyFont="1" applyFill="1" applyAlignment="1">
      <alignment horizontal="left" vertical="center"/>
    </xf>
    <xf numFmtId="173" fontId="5" fillId="2" borderId="1" xfId="2" applyNumberFormat="1" applyFont="1" applyFill="1" applyBorder="1" applyAlignment="1">
      <alignment horizontal="right" vertical="center" indent="1"/>
    </xf>
    <xf numFmtId="189" fontId="5" fillId="2" borderId="1" xfId="0" applyNumberFormat="1" applyFont="1" applyFill="1" applyBorder="1" applyAlignment="1">
      <alignment horizontal="center" vertical="center"/>
    </xf>
    <xf numFmtId="9" fontId="25" fillId="2" borderId="1" xfId="2" applyFont="1" applyFill="1" applyBorder="1" applyAlignment="1">
      <alignment horizontal="center" vertical="center"/>
    </xf>
    <xf numFmtId="3" fontId="25" fillId="2" borderId="1" xfId="0" applyNumberFormat="1" applyFont="1" applyFill="1" applyBorder="1" applyAlignment="1">
      <alignment horizontal="center" vertical="center"/>
    </xf>
    <xf numFmtId="3" fontId="25" fillId="2" borderId="0" xfId="0" applyNumberFormat="1" applyFont="1" applyFill="1" applyAlignment="1">
      <alignment horizontal="left" vertical="center"/>
    </xf>
    <xf numFmtId="3" fontId="25" fillId="2" borderId="1" xfId="0" applyNumberFormat="1" applyFont="1" applyFill="1" applyBorder="1" applyAlignment="1">
      <alignment horizontal="left" vertical="center"/>
    </xf>
    <xf numFmtId="0" fontId="25" fillId="2" borderId="1" xfId="0" applyFont="1" applyFill="1" applyBorder="1" applyAlignment="1">
      <alignment horizontal="left" vertical="center"/>
    </xf>
    <xf numFmtId="3" fontId="5" fillId="2" borderId="0" xfId="0" applyNumberFormat="1" applyFont="1" applyFill="1" applyAlignment="1">
      <alignment horizontal="left" indent="2"/>
    </xf>
    <xf numFmtId="3" fontId="5" fillId="2" borderId="0" xfId="0" applyNumberFormat="1" applyFont="1" applyFill="1" applyAlignment="1">
      <alignment horizontal="right" indent="1"/>
    </xf>
    <xf numFmtId="0" fontId="5" fillId="2" borderId="2" xfId="0" applyFont="1" applyFill="1" applyBorder="1" applyAlignment="1">
      <alignment horizontal="left" vertical="center"/>
    </xf>
    <xf numFmtId="0" fontId="5" fillId="2" borderId="0" xfId="0" applyFont="1" applyFill="1" applyAlignment="1">
      <alignment horizontal="center" wrapText="1"/>
    </xf>
    <xf numFmtId="0" fontId="1" fillId="0" borderId="0" xfId="0" applyFont="1"/>
    <xf numFmtId="0" fontId="41" fillId="0" borderId="0" xfId="0" applyFont="1" applyAlignment="1">
      <alignment horizontal="left" indent="1"/>
    </xf>
    <xf numFmtId="10" fontId="1" fillId="4" borderId="1" xfId="2" applyNumberFormat="1" applyFont="1" applyFill="1" applyBorder="1"/>
    <xf numFmtId="0" fontId="4" fillId="0" borderId="0" xfId="0" applyFont="1" applyAlignment="1">
      <alignment horizontal="left" indent="4"/>
    </xf>
    <xf numFmtId="0" fontId="1" fillId="0" borderId="0" xfId="0" applyFont="1" applyAlignment="1">
      <alignment horizontal="left" indent="1"/>
    </xf>
    <xf numFmtId="43" fontId="1" fillId="4" borderId="1" xfId="1" applyFont="1" applyFill="1" applyBorder="1"/>
    <xf numFmtId="0" fontId="4" fillId="0" borderId="0" xfId="0" applyFont="1" applyAlignment="1">
      <alignment horizontal="left" indent="1"/>
    </xf>
    <xf numFmtId="173" fontId="4" fillId="0" borderId="0" xfId="2" applyNumberFormat="1" applyFont="1"/>
    <xf numFmtId="10" fontId="0" fillId="4" borderId="1" xfId="0" applyNumberFormat="1" applyFill="1" applyBorder="1"/>
    <xf numFmtId="0" fontId="6" fillId="4" borderId="0" xfId="0" applyFont="1" applyFill="1"/>
    <xf numFmtId="0" fontId="5" fillId="2" borderId="0" xfId="0" applyFont="1" applyFill="1" applyAlignment="1">
      <alignment horizontal="left" indent="4"/>
    </xf>
    <xf numFmtId="0" fontId="5" fillId="2" borderId="11" xfId="0" applyFont="1" applyFill="1" applyBorder="1" applyAlignment="1">
      <alignment horizontal="right"/>
    </xf>
    <xf numFmtId="0" fontId="5" fillId="2" borderId="12" xfId="0" applyFont="1" applyFill="1" applyBorder="1"/>
    <xf numFmtId="0" fontId="5" fillId="2" borderId="13" xfId="0" applyFont="1" applyFill="1" applyBorder="1"/>
    <xf numFmtId="0" fontId="5" fillId="2" borderId="14" xfId="0" applyFont="1" applyFill="1" applyBorder="1" applyAlignment="1">
      <alignment horizontal="right"/>
    </xf>
    <xf numFmtId="0" fontId="5" fillId="2" borderId="15" xfId="0" applyFont="1" applyFill="1" applyBorder="1" applyAlignment="1">
      <alignment wrapText="1"/>
    </xf>
    <xf numFmtId="0" fontId="5" fillId="2" borderId="16" xfId="0" applyFont="1" applyFill="1" applyBorder="1" applyAlignment="1">
      <alignment wrapText="1"/>
    </xf>
    <xf numFmtId="10" fontId="113" fillId="2" borderId="0" xfId="0" applyNumberFormat="1" applyFont="1" applyFill="1" applyAlignment="1">
      <alignment horizontal="center" vertical="center"/>
    </xf>
    <xf numFmtId="0" fontId="113" fillId="2" borderId="0" xfId="0" applyFont="1" applyFill="1" applyAlignment="1">
      <alignment vertical="center"/>
    </xf>
    <xf numFmtId="0" fontId="4" fillId="2" borderId="0" xfId="0" applyFont="1" applyFill="1" applyAlignment="1">
      <alignment horizontal="right"/>
    </xf>
    <xf numFmtId="10" fontId="5" fillId="2" borderId="0" xfId="0" applyNumberFormat="1" applyFont="1" applyFill="1" applyAlignment="1">
      <alignment horizontal="center" vertical="center"/>
    </xf>
    <xf numFmtId="10" fontId="7" fillId="2" borderId="1" xfId="0" applyNumberFormat="1" applyFont="1" applyFill="1" applyBorder="1" applyAlignment="1">
      <alignment horizontal="center" vertical="center"/>
    </xf>
    <xf numFmtId="0" fontId="5" fillId="2" borderId="1" xfId="0" applyFont="1" applyFill="1" applyBorder="1" applyAlignment="1">
      <alignment vertical="center"/>
    </xf>
    <xf numFmtId="173" fontId="5" fillId="2" borderId="1" xfId="0" applyNumberFormat="1" applyFont="1" applyFill="1" applyBorder="1" applyAlignment="1">
      <alignment horizontal="center" vertical="center"/>
    </xf>
    <xf numFmtId="10" fontId="4" fillId="0" borderId="0" xfId="0" applyNumberFormat="1" applyFont="1"/>
    <xf numFmtId="0" fontId="4" fillId="12" borderId="1" xfId="0" applyFont="1" applyFill="1" applyBorder="1" applyAlignment="1">
      <alignment horizontal="center" vertical="center" wrapText="1"/>
    </xf>
    <xf numFmtId="0" fontId="4" fillId="13" borderId="1" xfId="0" applyFont="1" applyFill="1" applyBorder="1" applyAlignment="1">
      <alignment horizontal="center" vertical="center"/>
    </xf>
    <xf numFmtId="0" fontId="36" fillId="13" borderId="1" xfId="0" applyFont="1" applyFill="1" applyBorder="1" applyAlignment="1">
      <alignment horizontal="center"/>
    </xf>
    <xf numFmtId="0" fontId="36" fillId="13" borderId="1" xfId="0" applyFont="1" applyFill="1" applyBorder="1" applyAlignment="1">
      <alignment horizontal="center" wrapText="1"/>
    </xf>
    <xf numFmtId="10" fontId="4" fillId="0" borderId="0" xfId="2" applyNumberFormat="1" applyFont="1" applyBorder="1"/>
    <xf numFmtId="176" fontId="17" fillId="12" borderId="1" xfId="1" applyNumberFormat="1" applyFont="1" applyFill="1" applyBorder="1"/>
    <xf numFmtId="0" fontId="82" fillId="2" borderId="0" xfId="0" applyFont="1" applyFill="1" applyAlignment="1">
      <alignment vertical="top" wrapText="1"/>
    </xf>
    <xf numFmtId="10" fontId="17" fillId="12" borderId="1" xfId="2" applyNumberFormat="1" applyFont="1" applyFill="1" applyBorder="1"/>
    <xf numFmtId="177" fontId="4" fillId="0" borderId="11" xfId="0" applyNumberFormat="1" applyFont="1" applyBorder="1"/>
    <xf numFmtId="0" fontId="127" fillId="0" borderId="3" xfId="0" applyFont="1" applyBorder="1"/>
    <xf numFmtId="0" fontId="4" fillId="0" borderId="17" xfId="0" applyFont="1" applyBorder="1"/>
    <xf numFmtId="0" fontId="127" fillId="0" borderId="5" xfId="0" applyFont="1" applyBorder="1"/>
    <xf numFmtId="43" fontId="17" fillId="0" borderId="1" xfId="1" applyFont="1" applyFill="1" applyBorder="1" applyAlignment="1">
      <alignment horizontal="center" vertical="center"/>
    </xf>
    <xf numFmtId="0" fontId="17" fillId="0" borderId="1" xfId="0" applyFont="1" applyBorder="1" applyAlignment="1">
      <alignment vertical="center"/>
    </xf>
    <xf numFmtId="0" fontId="20" fillId="2" borderId="0" xfId="0" applyFont="1" applyFill="1" applyAlignment="1">
      <alignment horizontal="center" vertical="top"/>
    </xf>
    <xf numFmtId="9" fontId="20" fillId="2" borderId="0" xfId="0" applyNumberFormat="1" applyFont="1" applyFill="1"/>
    <xf numFmtId="190" fontId="20" fillId="3" borderId="1" xfId="1" applyNumberFormat="1" applyFont="1" applyFill="1" applyBorder="1" applyAlignment="1">
      <alignment horizontal="center"/>
    </xf>
    <xf numFmtId="0" fontId="20" fillId="3" borderId="0" xfId="0" applyFont="1" applyFill="1" applyAlignment="1">
      <alignment horizontal="right"/>
    </xf>
    <xf numFmtId="0" fontId="20" fillId="3" borderId="0" xfId="0" applyFont="1" applyFill="1"/>
    <xf numFmtId="173" fontId="20" fillId="3" borderId="1" xfId="0" applyNumberFormat="1" applyFont="1" applyFill="1" applyBorder="1" applyAlignment="1">
      <alignment horizontal="center"/>
    </xf>
    <xf numFmtId="0" fontId="128" fillId="2" borderId="0" xfId="0" applyFont="1" applyFill="1"/>
    <xf numFmtId="0" fontId="61" fillId="2" borderId="1" xfId="0" applyFont="1" applyFill="1" applyBorder="1"/>
    <xf numFmtId="173" fontId="20" fillId="2" borderId="1" xfId="0" applyNumberFormat="1" applyFont="1" applyFill="1" applyBorder="1" applyAlignment="1">
      <alignment horizontal="center" vertical="center"/>
    </xf>
    <xf numFmtId="0" fontId="61" fillId="2" borderId="3" xfId="0" applyFont="1" applyFill="1" applyBorder="1" applyAlignment="1">
      <alignment horizontal="center" vertical="center"/>
    </xf>
    <xf numFmtId="0" fontId="61" fillId="2" borderId="0" xfId="0" applyFont="1" applyFill="1" applyAlignment="1">
      <alignment vertical="center"/>
    </xf>
    <xf numFmtId="37" fontId="20" fillId="2" borderId="1" xfId="1" applyNumberFormat="1" applyFont="1" applyFill="1" applyBorder="1" applyAlignment="1">
      <alignment horizontal="center" vertical="center"/>
    </xf>
    <xf numFmtId="170" fontId="17" fillId="0" borderId="0" xfId="0" applyNumberFormat="1" applyFont="1" applyAlignment="1">
      <alignment horizontal="center"/>
    </xf>
    <xf numFmtId="0" fontId="20" fillId="2" borderId="1" xfId="0" applyFont="1" applyFill="1" applyBorder="1" applyAlignment="1">
      <alignment vertical="center" wrapText="1"/>
    </xf>
    <xf numFmtId="0" fontId="20" fillId="2" borderId="3" xfId="0" applyFont="1" applyFill="1" applyBorder="1" applyAlignment="1">
      <alignment horizontal="center" vertical="center" wrapText="1"/>
    </xf>
    <xf numFmtId="0" fontId="20" fillId="2" borderId="0" xfId="0" applyFont="1" applyFill="1" applyAlignment="1">
      <alignment horizontal="left" vertical="center" indent="5"/>
    </xf>
    <xf numFmtId="170" fontId="17" fillId="0" borderId="12" xfId="0" applyNumberFormat="1" applyFont="1" applyBorder="1" applyAlignment="1">
      <alignment horizontal="center"/>
    </xf>
    <xf numFmtId="170" fontId="17" fillId="0" borderId="12" xfId="0" applyNumberFormat="1" applyFont="1" applyBorder="1" applyAlignment="1">
      <alignment horizontal="center" wrapText="1"/>
    </xf>
    <xf numFmtId="191" fontId="61" fillId="2" borderId="1" xfId="0" applyNumberFormat="1" applyFont="1" applyFill="1" applyBorder="1" applyAlignment="1">
      <alignment horizontal="center" vertical="center"/>
    </xf>
    <xf numFmtId="3" fontId="61" fillId="2" borderId="1" xfId="0" applyNumberFormat="1" applyFont="1" applyFill="1" applyBorder="1" applyAlignment="1">
      <alignment horizontal="center" vertical="center"/>
    </xf>
    <xf numFmtId="191" fontId="20" fillId="2" borderId="1" xfId="0" applyNumberFormat="1" applyFont="1" applyFill="1" applyBorder="1" applyAlignment="1">
      <alignment horizontal="center" vertical="center"/>
    </xf>
    <xf numFmtId="0" fontId="20" fillId="2" borderId="3" xfId="0" applyFont="1" applyFill="1" applyBorder="1" applyAlignment="1">
      <alignment horizontal="center" vertical="center"/>
    </xf>
    <xf numFmtId="0" fontId="61" fillId="2" borderId="3" xfId="0" applyFont="1" applyFill="1" applyBorder="1" applyAlignment="1">
      <alignment horizontal="center"/>
    </xf>
    <xf numFmtId="0" fontId="20" fillId="2" borderId="4" xfId="0" applyFont="1" applyFill="1" applyBorder="1"/>
    <xf numFmtId="3" fontId="112" fillId="0" borderId="0" xfId="0" applyNumberFormat="1" applyFont="1" applyAlignment="1">
      <alignment horizontal="center"/>
    </xf>
    <xf numFmtId="0" fontId="112" fillId="0" borderId="15" xfId="0" applyFont="1" applyBorder="1" applyAlignment="1">
      <alignment horizontal="center"/>
    </xf>
    <xf numFmtId="3" fontId="112" fillId="0" borderId="12" xfId="0" applyNumberFormat="1" applyFont="1" applyBorder="1" applyAlignment="1">
      <alignment horizontal="center"/>
    </xf>
    <xf numFmtId="0" fontId="29" fillId="0" borderId="12" xfId="0" applyFont="1" applyBorder="1" applyAlignment="1">
      <alignment horizontal="center"/>
    </xf>
    <xf numFmtId="0" fontId="29" fillId="0" borderId="0" xfId="0" applyFont="1" applyAlignment="1">
      <alignment horizontal="center"/>
    </xf>
    <xf numFmtId="0" fontId="29" fillId="0" borderId="12" xfId="0" applyFont="1" applyBorder="1" applyAlignment="1">
      <alignment horizontal="center" wrapText="1"/>
    </xf>
    <xf numFmtId="3" fontId="129" fillId="0" borderId="0" xfId="0" applyNumberFormat="1" applyFont="1" applyAlignment="1">
      <alignment horizontal="right" vertical="center"/>
    </xf>
    <xf numFmtId="0" fontId="129" fillId="0" borderId="0" xfId="0" applyFont="1" applyAlignment="1">
      <alignment horizontal="center" vertical="center"/>
    </xf>
    <xf numFmtId="3" fontId="76" fillId="0" borderId="0" xfId="0" applyNumberFormat="1" applyFont="1" applyAlignment="1">
      <alignment horizontal="center"/>
    </xf>
    <xf numFmtId="164" fontId="76" fillId="0" borderId="0" xfId="0" applyNumberFormat="1" applyFont="1" applyAlignment="1">
      <alignment horizontal="center"/>
    </xf>
    <xf numFmtId="0" fontId="76" fillId="0" borderId="15" xfId="0" applyFont="1" applyBorder="1" applyAlignment="1">
      <alignment horizontal="center"/>
    </xf>
    <xf numFmtId="3" fontId="129" fillId="0" borderId="20" xfId="0" applyNumberFormat="1" applyFont="1" applyBorder="1" applyAlignment="1">
      <alignment horizontal="right" vertical="center"/>
    </xf>
    <xf numFmtId="0" fontId="129" fillId="0" borderId="20" xfId="0" applyFont="1" applyBorder="1" applyAlignment="1">
      <alignment horizontal="right" vertical="center"/>
    </xf>
    <xf numFmtId="0" fontId="129" fillId="0" borderId="20" xfId="0" applyFont="1" applyBorder="1" applyAlignment="1">
      <alignment horizontal="center" vertical="center"/>
    </xf>
    <xf numFmtId="3" fontId="76" fillId="0" borderId="12" xfId="0" applyNumberFormat="1" applyFont="1" applyBorder="1" applyAlignment="1">
      <alignment horizontal="center"/>
    </xf>
    <xf numFmtId="173" fontId="76" fillId="0" borderId="12" xfId="2" applyNumberFormat="1" applyFont="1" applyFill="1" applyBorder="1" applyAlignment="1">
      <alignment horizontal="center"/>
    </xf>
    <xf numFmtId="0" fontId="76" fillId="0" borderId="12" xfId="0" applyFont="1" applyBorder="1" applyAlignment="1">
      <alignment horizontal="center"/>
    </xf>
    <xf numFmtId="0" fontId="129" fillId="0" borderId="0" xfId="0" applyFont="1" applyAlignment="1">
      <alignment horizontal="right" vertical="center"/>
    </xf>
    <xf numFmtId="173" fontId="76" fillId="0" borderId="0" xfId="2" applyNumberFormat="1" applyFont="1" applyFill="1" applyAlignment="1">
      <alignment horizontal="center"/>
    </xf>
    <xf numFmtId="0" fontId="76" fillId="0" borderId="0" xfId="0" applyFont="1" applyAlignment="1">
      <alignment horizontal="center"/>
    </xf>
    <xf numFmtId="0" fontId="129" fillId="0" borderId="20" xfId="0" applyFont="1" applyBorder="1" applyAlignment="1">
      <alignment horizontal="center" vertical="center" wrapText="1"/>
    </xf>
    <xf numFmtId="0" fontId="76" fillId="0" borderId="12" xfId="0" applyFont="1" applyBorder="1" applyAlignment="1">
      <alignment horizontal="center" wrapText="1"/>
    </xf>
    <xf numFmtId="0" fontId="130" fillId="0" borderId="0" xfId="0" applyFont="1"/>
    <xf numFmtId="0" fontId="36" fillId="8" borderId="0" xfId="0" applyFont="1" applyFill="1" applyAlignment="1">
      <alignment vertical="center"/>
    </xf>
    <xf numFmtId="0" fontId="76" fillId="2" borderId="0" xfId="0" quotePrefix="1" applyFont="1" applyFill="1" applyAlignment="1">
      <alignment vertical="center"/>
    </xf>
    <xf numFmtId="173" fontId="76" fillId="0" borderId="0" xfId="2" applyNumberFormat="1" applyFont="1" applyBorder="1" applyAlignment="1">
      <alignment horizontal="center"/>
    </xf>
    <xf numFmtId="0" fontId="76" fillId="0" borderId="0" xfId="0" applyFont="1" applyAlignment="1">
      <alignment horizontal="right"/>
    </xf>
    <xf numFmtId="164" fontId="76" fillId="0" borderId="12" xfId="0" applyNumberFormat="1" applyFont="1" applyBorder="1" applyAlignment="1">
      <alignment horizontal="center"/>
    </xf>
    <xf numFmtId="173" fontId="76" fillId="0" borderId="12" xfId="2" applyNumberFormat="1" applyFont="1" applyBorder="1" applyAlignment="1">
      <alignment horizontal="center"/>
    </xf>
    <xf numFmtId="9" fontId="76" fillId="2" borderId="1" xfId="0" applyNumberFormat="1" applyFont="1" applyFill="1" applyBorder="1" applyAlignment="1">
      <alignment horizontal="center"/>
    </xf>
    <xf numFmtId="0" fontId="76" fillId="2" borderId="1" xfId="0" applyFont="1" applyFill="1" applyBorder="1" applyAlignment="1">
      <alignment vertical="center"/>
    </xf>
    <xf numFmtId="3" fontId="131" fillId="2" borderId="1" xfId="0" applyNumberFormat="1" applyFont="1" applyFill="1" applyBorder="1" applyAlignment="1">
      <alignment horizontal="right" vertical="center" indent="2"/>
    </xf>
    <xf numFmtId="3" fontId="76" fillId="2" borderId="1" xfId="0" applyNumberFormat="1" applyFont="1" applyFill="1" applyBorder="1" applyAlignment="1">
      <alignment horizontal="right" vertical="center" indent="2"/>
    </xf>
    <xf numFmtId="164" fontId="76" fillId="2" borderId="1" xfId="0" applyNumberFormat="1" applyFont="1" applyFill="1" applyBorder="1" applyAlignment="1">
      <alignment horizontal="center" vertical="center"/>
    </xf>
    <xf numFmtId="0" fontId="131" fillId="2" borderId="1" xfId="0" applyFont="1" applyFill="1" applyBorder="1" applyAlignment="1">
      <alignment horizontal="right" vertical="center" indent="2"/>
    </xf>
    <xf numFmtId="0" fontId="76" fillId="2" borderId="1" xfId="0" applyFont="1" applyFill="1" applyBorder="1" applyAlignment="1">
      <alignment horizontal="right" vertical="center" indent="2"/>
    </xf>
    <xf numFmtId="3" fontId="131" fillId="2" borderId="3" xfId="0" applyNumberFormat="1" applyFont="1" applyFill="1" applyBorder="1" applyAlignment="1">
      <alignment horizontal="right" vertical="center" indent="2"/>
    </xf>
    <xf numFmtId="0" fontId="76" fillId="2" borderId="3" xfId="0" applyFont="1" applyFill="1" applyBorder="1" applyAlignment="1">
      <alignment horizontal="right" vertical="center" indent="2"/>
    </xf>
    <xf numFmtId="0" fontId="131" fillId="2" borderId="3" xfId="0" quotePrefix="1" applyFont="1" applyFill="1" applyBorder="1" applyAlignment="1">
      <alignment horizontal="center" wrapText="1"/>
    </xf>
    <xf numFmtId="0" fontId="76" fillId="2" borderId="3" xfId="0" quotePrefix="1" applyFont="1" applyFill="1" applyBorder="1" applyAlignment="1">
      <alignment horizontal="center" wrapText="1"/>
    </xf>
    <xf numFmtId="0" fontId="131" fillId="2" borderId="4" xfId="0" applyFont="1" applyFill="1" applyBorder="1" applyAlignment="1">
      <alignment horizontal="center" wrapText="1"/>
    </xf>
    <xf numFmtId="0" fontId="76" fillId="2" borderId="4" xfId="0" applyFont="1" applyFill="1" applyBorder="1" applyAlignment="1">
      <alignment horizontal="center" wrapText="1"/>
    </xf>
    <xf numFmtId="0" fontId="132" fillId="2" borderId="0" xfId="0" applyFont="1" applyFill="1"/>
    <xf numFmtId="10" fontId="17" fillId="0" borderId="0" xfId="2" applyNumberFormat="1" applyFont="1" applyFill="1" applyBorder="1" applyAlignment="1">
      <alignment horizontal="center"/>
    </xf>
    <xf numFmtId="192" fontId="17" fillId="0" borderId="12" xfId="0" applyNumberFormat="1" applyFont="1" applyBorder="1" applyAlignment="1">
      <alignment horizontal="center"/>
    </xf>
    <xf numFmtId="0" fontId="17" fillId="0" borderId="12" xfId="0" quotePrefix="1" applyFont="1" applyBorder="1" applyAlignment="1">
      <alignment horizontal="center" wrapText="1"/>
    </xf>
    <xf numFmtId="0" fontId="17" fillId="0" borderId="0" xfId="0" applyFont="1" applyAlignment="1">
      <alignment horizontal="centerContinuous"/>
    </xf>
    <xf numFmtId="0" fontId="133" fillId="0" borderId="0" xfId="0" applyFont="1" applyAlignment="1">
      <alignment horizontal="centerContinuous"/>
    </xf>
    <xf numFmtId="0" fontId="66" fillId="0" borderId="0" xfId="0" applyFont="1"/>
    <xf numFmtId="3" fontId="66" fillId="0" borderId="0" xfId="0" applyNumberFormat="1" applyFont="1" applyAlignment="1">
      <alignment horizontal="right"/>
    </xf>
    <xf numFmtId="3" fontId="66" fillId="0" borderId="0" xfId="0" applyNumberFormat="1" applyFont="1"/>
    <xf numFmtId="0" fontId="64" fillId="2" borderId="0" xfId="0" applyFont="1" applyFill="1"/>
    <xf numFmtId="0" fontId="64" fillId="2" borderId="0" xfId="0" quotePrefix="1" applyFont="1" applyFill="1" applyAlignment="1">
      <alignment vertical="center"/>
    </xf>
    <xf numFmtId="3" fontId="66" fillId="0" borderId="0" xfId="0" applyNumberFormat="1" applyFont="1" applyAlignment="1">
      <alignment horizontal="center"/>
    </xf>
    <xf numFmtId="0" fontId="66" fillId="0" borderId="0" xfId="0" applyFont="1" applyAlignment="1">
      <alignment horizontal="center"/>
    </xf>
    <xf numFmtId="3" fontId="66" fillId="0" borderId="12" xfId="0" applyNumberFormat="1" applyFont="1" applyBorder="1" applyAlignment="1">
      <alignment horizontal="center"/>
    </xf>
    <xf numFmtId="172" fontId="66" fillId="0" borderId="12" xfId="0" applyNumberFormat="1" applyFont="1" applyBorder="1" applyAlignment="1">
      <alignment horizontal="center"/>
    </xf>
    <xf numFmtId="0" fontId="66" fillId="0" borderId="12" xfId="0" applyFont="1" applyBorder="1" applyAlignment="1">
      <alignment horizontal="center"/>
    </xf>
    <xf numFmtId="172" fontId="66" fillId="0" borderId="0" xfId="0" applyNumberFormat="1" applyFont="1" applyAlignment="1">
      <alignment horizontal="center"/>
    </xf>
    <xf numFmtId="0" fontId="66" fillId="0" borderId="12" xfId="0" applyFont="1" applyBorder="1" applyAlignment="1">
      <alignment horizontal="center" wrapText="1"/>
    </xf>
    <xf numFmtId="10" fontId="66" fillId="0" borderId="12" xfId="0" applyNumberFormat="1" applyFont="1" applyBorder="1" applyAlignment="1">
      <alignment horizontal="center"/>
    </xf>
    <xf numFmtId="171" fontId="66" fillId="0" borderId="12" xfId="0" applyNumberFormat="1" applyFont="1" applyBorder="1" applyAlignment="1">
      <alignment horizontal="center"/>
    </xf>
    <xf numFmtId="10" fontId="66" fillId="0" borderId="0" xfId="0" applyNumberFormat="1" applyFont="1" applyAlignment="1">
      <alignment horizontal="center"/>
    </xf>
    <xf numFmtId="171" fontId="66" fillId="0" borderId="0" xfId="0" applyNumberFormat="1" applyFont="1" applyAlignment="1">
      <alignment horizontal="center"/>
    </xf>
    <xf numFmtId="0" fontId="66" fillId="0" borderId="0" xfId="0" applyFont="1" applyAlignment="1">
      <alignment horizontal="left"/>
    </xf>
    <xf numFmtId="10" fontId="64" fillId="0" borderId="0" xfId="2" applyNumberFormat="1" applyFont="1" applyFill="1" applyBorder="1" applyAlignment="1">
      <alignment horizontal="center"/>
    </xf>
    <xf numFmtId="3" fontId="64" fillId="0" borderId="0" xfId="0" applyNumberFormat="1" applyFont="1" applyAlignment="1">
      <alignment horizontal="center"/>
    </xf>
    <xf numFmtId="171" fontId="64" fillId="0" borderId="0" xfId="0" applyNumberFormat="1" applyFont="1" applyAlignment="1">
      <alignment horizontal="center"/>
    </xf>
    <xf numFmtId="0" fontId="64" fillId="0" borderId="0" xfId="0" applyFont="1" applyAlignment="1">
      <alignment horizontal="center"/>
    </xf>
    <xf numFmtId="0" fontId="64" fillId="0" borderId="12" xfId="0" applyFont="1" applyBorder="1" applyAlignment="1">
      <alignment horizontal="center" wrapText="1"/>
    </xf>
    <xf numFmtId="185" fontId="64" fillId="0" borderId="0" xfId="0" applyNumberFormat="1" applyFont="1"/>
    <xf numFmtId="0" fontId="134" fillId="0" borderId="0" xfId="0" applyFont="1"/>
    <xf numFmtId="3" fontId="64" fillId="0" borderId="12" xfId="0" applyNumberFormat="1" applyFont="1" applyBorder="1" applyAlignment="1">
      <alignment horizontal="center"/>
    </xf>
    <xf numFmtId="172" fontId="64" fillId="0" borderId="12" xfId="0" applyNumberFormat="1" applyFont="1" applyBorder="1" applyAlignment="1">
      <alignment horizontal="center"/>
    </xf>
    <xf numFmtId="170" fontId="64" fillId="0" borderId="12" xfId="0" applyNumberFormat="1" applyFont="1" applyBorder="1" applyAlignment="1">
      <alignment horizontal="center"/>
    </xf>
    <xf numFmtId="0" fontId="64" fillId="0" borderId="12" xfId="0" applyFont="1" applyBorder="1" applyAlignment="1">
      <alignment horizontal="center"/>
    </xf>
    <xf numFmtId="172" fontId="64" fillId="0" borderId="0" xfId="0" applyNumberFormat="1" applyFont="1" applyAlignment="1">
      <alignment horizontal="center"/>
    </xf>
    <xf numFmtId="170" fontId="64" fillId="0" borderId="0" xfId="0" applyNumberFormat="1" applyFont="1" applyAlignment="1">
      <alignment horizontal="center"/>
    </xf>
    <xf numFmtId="170" fontId="64" fillId="0" borderId="12" xfId="2" applyNumberFormat="1" applyFont="1" applyFill="1" applyBorder="1" applyAlignment="1">
      <alignment horizontal="center"/>
    </xf>
    <xf numFmtId="170" fontId="64" fillId="0" borderId="0" xfId="2" applyNumberFormat="1" applyFont="1" applyFill="1" applyBorder="1" applyAlignment="1">
      <alignment horizontal="center"/>
    </xf>
    <xf numFmtId="173" fontId="64" fillId="0" borderId="0" xfId="2" applyNumberFormat="1" applyFont="1" applyFill="1" applyBorder="1" applyAlignment="1">
      <alignment horizontal="centerContinuous"/>
    </xf>
    <xf numFmtId="0" fontId="64" fillId="0" borderId="0" xfId="0" applyFont="1" applyAlignment="1">
      <alignment horizontal="centerContinuous"/>
    </xf>
    <xf numFmtId="173" fontId="76" fillId="2" borderId="1" xfId="0" applyNumberFormat="1" applyFont="1" applyFill="1" applyBorder="1" applyAlignment="1">
      <alignment horizontal="left"/>
    </xf>
    <xf numFmtId="9" fontId="76" fillId="2" borderId="1" xfId="0" applyNumberFormat="1" applyFont="1" applyFill="1" applyBorder="1" applyAlignment="1">
      <alignment horizontal="left"/>
    </xf>
    <xf numFmtId="0" fontId="76" fillId="2" borderId="0" xfId="0" applyFont="1" applyFill="1" applyAlignment="1">
      <alignment horizontal="left" vertical="center"/>
    </xf>
    <xf numFmtId="171" fontId="76" fillId="2" borderId="1" xfId="0" applyNumberFormat="1" applyFont="1" applyFill="1" applyBorder="1" applyAlignment="1">
      <alignment horizontal="center" vertical="center"/>
    </xf>
    <xf numFmtId="3" fontId="76" fillId="2" borderId="1" xfId="0" applyNumberFormat="1" applyFont="1" applyFill="1" applyBorder="1" applyAlignment="1">
      <alignment horizontal="center" vertical="center"/>
    </xf>
    <xf numFmtId="0" fontId="76" fillId="2" borderId="1" xfId="0" applyFont="1" applyFill="1" applyBorder="1" applyAlignment="1">
      <alignment horizontal="center" vertical="center"/>
    </xf>
    <xf numFmtId="0" fontId="76" fillId="2" borderId="1" xfId="0" applyFont="1" applyFill="1" applyBorder="1" applyAlignment="1">
      <alignment horizontal="center" vertical="center" wrapText="1"/>
    </xf>
    <xf numFmtId="0" fontId="76" fillId="2" borderId="3" xfId="0" applyFont="1" applyFill="1" applyBorder="1" applyAlignment="1">
      <alignment horizontal="center" vertical="center"/>
    </xf>
    <xf numFmtId="0" fontId="76" fillId="2" borderId="4" xfId="0" applyFont="1" applyFill="1" applyBorder="1" applyAlignment="1">
      <alignment horizontal="center" vertical="center"/>
    </xf>
    <xf numFmtId="0" fontId="61" fillId="2" borderId="4" xfId="0" applyFont="1" applyFill="1" applyBorder="1" applyAlignment="1">
      <alignment horizontal="center" vertical="center"/>
    </xf>
    <xf numFmtId="0" fontId="123" fillId="0" borderId="0" xfId="0" applyFont="1" applyAlignment="1">
      <alignment horizontal="center"/>
    </xf>
    <xf numFmtId="0" fontId="4" fillId="0" borderId="0" xfId="0" applyFont="1" applyAlignment="1" applyProtection="1">
      <alignment horizontal="center"/>
      <protection locked="0"/>
    </xf>
    <xf numFmtId="2" fontId="113" fillId="0" borderId="1" xfId="0" applyNumberFormat="1" applyFont="1" applyBorder="1" applyAlignment="1">
      <alignment horizontal="center" wrapText="1"/>
    </xf>
    <xf numFmtId="0" fontId="113" fillId="0" borderId="1" xfId="0" applyFont="1" applyBorder="1" applyAlignment="1">
      <alignment horizontal="center" vertical="center" wrapText="1"/>
    </xf>
    <xf numFmtId="3" fontId="4" fillId="0" borderId="0" xfId="0" applyNumberFormat="1" applyFont="1" applyAlignment="1">
      <alignment horizontal="right" vertical="center" wrapText="1"/>
    </xf>
    <xf numFmtId="170" fontId="4" fillId="0" borderId="0" xfId="0" applyNumberFormat="1" applyFont="1"/>
    <xf numFmtId="3" fontId="17" fillId="0" borderId="0" xfId="0" quotePrefix="1" applyNumberFormat="1" applyFont="1" applyAlignment="1">
      <alignment horizontal="center" vertical="center" wrapText="1"/>
    </xf>
    <xf numFmtId="3" fontId="17" fillId="0" borderId="0" xfId="0" applyNumberFormat="1" applyFont="1" applyAlignment="1">
      <alignment horizontal="center" vertical="center" wrapText="1"/>
    </xf>
    <xf numFmtId="0" fontId="17" fillId="0" borderId="0" xfId="0" quotePrefix="1" applyFont="1" applyAlignment="1">
      <alignment horizontal="center"/>
    </xf>
    <xf numFmtId="3" fontId="17" fillId="0" borderId="12" xfId="0" applyNumberFormat="1" applyFont="1" applyBorder="1" applyAlignment="1">
      <alignment horizontal="center" vertical="center" wrapText="1"/>
    </xf>
    <xf numFmtId="2" fontId="17" fillId="0" borderId="12" xfId="0" applyNumberFormat="1" applyFont="1" applyBorder="1" applyAlignment="1">
      <alignment horizontal="center" vertical="center" wrapText="1"/>
    </xf>
    <xf numFmtId="2" fontId="17" fillId="0" borderId="0" xfId="0" applyNumberFormat="1" applyFont="1" applyAlignment="1">
      <alignment horizontal="center" vertical="center" wrapText="1"/>
    </xf>
    <xf numFmtId="2" fontId="20" fillId="2" borderId="1" xfId="0" applyNumberFormat="1" applyFont="1" applyFill="1" applyBorder="1" applyAlignment="1">
      <alignment horizontal="center" vertical="center" wrapText="1"/>
    </xf>
    <xf numFmtId="164" fontId="17" fillId="0" borderId="0" xfId="0" applyNumberFormat="1" applyFont="1" applyAlignment="1">
      <alignment horizontal="center"/>
    </xf>
    <xf numFmtId="164" fontId="17" fillId="0" borderId="0" xfId="0" applyNumberFormat="1" applyFont="1" applyAlignment="1">
      <alignment horizontal="right"/>
    </xf>
    <xf numFmtId="4" fontId="17" fillId="0" borderId="12" xfId="0" applyNumberFormat="1" applyFont="1" applyBorder="1"/>
    <xf numFmtId="171" fontId="17" fillId="0" borderId="12" xfId="0" applyNumberFormat="1" applyFont="1" applyBorder="1" applyAlignment="1">
      <alignment horizontal="center"/>
    </xf>
    <xf numFmtId="2" fontId="17" fillId="0" borderId="12" xfId="0" applyNumberFormat="1" applyFont="1" applyBorder="1" applyAlignment="1">
      <alignment horizontal="center"/>
    </xf>
    <xf numFmtId="1" fontId="17" fillId="0" borderId="12" xfId="0" applyNumberFormat="1" applyFont="1" applyBorder="1" applyAlignment="1">
      <alignment horizontal="center"/>
    </xf>
    <xf numFmtId="3" fontId="17" fillId="0" borderId="12" xfId="0" applyNumberFormat="1" applyFont="1" applyBorder="1"/>
    <xf numFmtId="171" fontId="17" fillId="0" borderId="0" xfId="0" applyNumberFormat="1" applyFont="1" applyAlignment="1">
      <alignment horizontal="center"/>
    </xf>
    <xf numFmtId="2" fontId="17" fillId="0" borderId="0" xfId="0" applyNumberFormat="1" applyFont="1" applyAlignment="1">
      <alignment horizontal="center"/>
    </xf>
    <xf numFmtId="1" fontId="17" fillId="0" borderId="0" xfId="0" applyNumberFormat="1" applyFont="1" applyAlignment="1">
      <alignment horizontal="center"/>
    </xf>
    <xf numFmtId="192" fontId="17" fillId="0" borderId="0" xfId="0" applyNumberFormat="1" applyFont="1" applyAlignment="1">
      <alignment horizontal="center"/>
    </xf>
    <xf numFmtId="15" fontId="17" fillId="0" borderId="0" xfId="0" applyNumberFormat="1" applyFont="1"/>
    <xf numFmtId="193" fontId="20" fillId="2" borderId="1" xfId="0" applyNumberFormat="1" applyFont="1" applyFill="1" applyBorder="1" applyAlignment="1">
      <alignment horizontal="center" vertical="center"/>
    </xf>
    <xf numFmtId="2" fontId="17" fillId="0" borderId="0" xfId="0" applyNumberFormat="1" applyFont="1"/>
    <xf numFmtId="0" fontId="17" fillId="0" borderId="12" xfId="0" applyFont="1" applyBorder="1" applyAlignment="1">
      <alignment horizontal="left"/>
    </xf>
    <xf numFmtId="0" fontId="17" fillId="0" borderId="12" xfId="0" applyFont="1" applyBorder="1" applyAlignment="1">
      <alignment horizontal="left" vertical="center"/>
    </xf>
    <xf numFmtId="0" fontId="20" fillId="2" borderId="1" xfId="0" applyFont="1" applyFill="1" applyBorder="1" applyAlignment="1">
      <alignment horizontal="left"/>
    </xf>
    <xf numFmtId="0" fontId="20" fillId="2" borderId="1" xfId="0" applyFont="1" applyFill="1" applyBorder="1" applyAlignment="1">
      <alignment horizontal="left" vertical="center"/>
    </xf>
    <xf numFmtId="0" fontId="61" fillId="2" borderId="1" xfId="0" applyFont="1" applyFill="1" applyBorder="1" applyAlignment="1">
      <alignment horizontal="left" vertical="center"/>
    </xf>
    <xf numFmtId="0" fontId="17" fillId="0" borderId="18" xfId="0" applyFont="1" applyBorder="1"/>
    <xf numFmtId="164" fontId="17" fillId="0" borderId="0" xfId="0" applyNumberFormat="1" applyFont="1"/>
    <xf numFmtId="9" fontId="17" fillId="0" borderId="0" xfId="0" applyNumberFormat="1" applyFont="1" applyAlignment="1">
      <alignment horizontal="center"/>
    </xf>
    <xf numFmtId="164" fontId="4" fillId="0" borderId="0" xfId="0" applyNumberFormat="1" applyFont="1"/>
    <xf numFmtId="0" fontId="20" fillId="2" borderId="12" xfId="0" applyFont="1" applyFill="1" applyBorder="1"/>
    <xf numFmtId="0" fontId="20" fillId="2" borderId="13" xfId="0" applyFont="1" applyFill="1" applyBorder="1" applyAlignment="1">
      <alignment horizontal="left" vertical="center"/>
    </xf>
    <xf numFmtId="0" fontId="20" fillId="2" borderId="2" xfId="0" applyFont="1" applyFill="1" applyBorder="1" applyAlignment="1">
      <alignment horizontal="left" vertical="center"/>
    </xf>
    <xf numFmtId="0" fontId="20" fillId="2" borderId="15" xfId="0" applyFont="1" applyFill="1" applyBorder="1"/>
    <xf numFmtId="0" fontId="61" fillId="2" borderId="16" xfId="0" applyFont="1" applyFill="1" applyBorder="1" applyAlignment="1">
      <alignment horizontal="left" vertical="center"/>
    </xf>
    <xf numFmtId="175" fontId="17" fillId="0" borderId="0" xfId="2" applyNumberFormat="1" applyFont="1" applyFill="1" applyAlignment="1"/>
    <xf numFmtId="166" fontId="17" fillId="0" borderId="0" xfId="3" applyNumberFormat="1" applyFont="1" applyFill="1" applyAlignment="1"/>
    <xf numFmtId="173" fontId="17" fillId="0" borderId="0" xfId="2" applyNumberFormat="1" applyFont="1" applyFill="1"/>
    <xf numFmtId="1" fontId="4" fillId="0" borderId="0" xfId="0" applyNumberFormat="1" applyFont="1" applyAlignment="1">
      <alignment horizontal="center"/>
    </xf>
    <xf numFmtId="0" fontId="4" fillId="0" borderId="0" xfId="0" applyFont="1" applyAlignment="1">
      <alignment horizontal="left"/>
    </xf>
    <xf numFmtId="10" fontId="17" fillId="0" borderId="12" xfId="2" applyNumberFormat="1" applyFont="1" applyBorder="1"/>
    <xf numFmtId="10" fontId="17" fillId="0" borderId="0" xfId="2" applyNumberFormat="1" applyFont="1"/>
    <xf numFmtId="3" fontId="61" fillId="2" borderId="1" xfId="0" applyNumberFormat="1" applyFont="1" applyFill="1" applyBorder="1" applyAlignment="1">
      <alignment horizontal="center" vertical="center" wrapText="1"/>
    </xf>
    <xf numFmtId="0" fontId="122" fillId="0" borderId="0" xfId="0" applyFont="1"/>
    <xf numFmtId="0" fontId="136" fillId="0" borderId="0" xfId="0" applyFont="1"/>
    <xf numFmtId="169" fontId="17" fillId="0" borderId="0" xfId="0" applyNumberFormat="1" applyFont="1" applyAlignment="1">
      <alignment horizontal="center"/>
    </xf>
    <xf numFmtId="0" fontId="61" fillId="2" borderId="0" xfId="0" applyFont="1" applyFill="1" applyAlignment="1">
      <alignment horizontal="center" vertical="center"/>
    </xf>
    <xf numFmtId="2" fontId="61" fillId="2" borderId="1" xfId="0" applyNumberFormat="1" applyFont="1" applyFill="1" applyBorder="1" applyAlignment="1">
      <alignment horizontal="center" vertical="center"/>
    </xf>
    <xf numFmtId="2" fontId="20" fillId="2" borderId="1" xfId="0" applyNumberFormat="1" applyFont="1" applyFill="1" applyBorder="1" applyAlignment="1">
      <alignment horizontal="center" vertical="center"/>
    </xf>
    <xf numFmtId="0" fontId="61" fillId="0" borderId="0" xfId="0" applyFont="1"/>
    <xf numFmtId="2" fontId="17" fillId="0" borderId="1" xfId="0" applyNumberFormat="1" applyFont="1" applyBorder="1" applyAlignment="1">
      <alignment horizontal="center"/>
    </xf>
    <xf numFmtId="3" fontId="17" fillId="0" borderId="1" xfId="0" applyNumberFormat="1" applyFont="1" applyBorder="1" applyAlignment="1">
      <alignment horizontal="center" vertical="center" wrapText="1"/>
    </xf>
    <xf numFmtId="164" fontId="17" fillId="0" borderId="0" xfId="0" applyNumberFormat="1" applyFont="1" applyAlignment="1">
      <alignment horizontal="left"/>
    </xf>
    <xf numFmtId="0" fontId="20" fillId="2" borderId="6" xfId="0" applyFont="1" applyFill="1" applyBorder="1" applyAlignment="1">
      <alignment horizontal="left" vertical="center"/>
    </xf>
    <xf numFmtId="0" fontId="20" fillId="2" borderId="10" xfId="0" applyFont="1" applyFill="1" applyBorder="1" applyAlignment="1">
      <alignment horizontal="center" vertical="center"/>
    </xf>
    <xf numFmtId="3" fontId="20" fillId="2" borderId="2" xfId="0" applyNumberFormat="1" applyFont="1" applyFill="1" applyBorder="1" applyAlignment="1">
      <alignment horizontal="right" vertical="center"/>
    </xf>
    <xf numFmtId="3" fontId="20" fillId="2" borderId="6" xfId="0" applyNumberFormat="1" applyFont="1" applyFill="1" applyBorder="1" applyAlignment="1">
      <alignment horizontal="left" vertical="center"/>
    </xf>
    <xf numFmtId="0" fontId="20" fillId="2" borderId="2" xfId="0" applyFont="1" applyFill="1" applyBorder="1" applyAlignment="1">
      <alignment horizontal="right" vertical="center"/>
    </xf>
    <xf numFmtId="185" fontId="17" fillId="0" borderId="0" xfId="2" applyNumberFormat="1" applyFont="1" applyFill="1" applyBorder="1" applyAlignment="1">
      <alignment horizontal="center"/>
    </xf>
    <xf numFmtId="0" fontId="120" fillId="2" borderId="0" xfId="0" applyFont="1" applyFill="1" applyAlignment="1">
      <alignment horizontal="left" vertical="center" indent="12"/>
    </xf>
    <xf numFmtId="0" fontId="20" fillId="9" borderId="0" xfId="0" quotePrefix="1" applyFont="1" applyFill="1" applyAlignment="1">
      <alignment vertical="center"/>
    </xf>
    <xf numFmtId="2" fontId="4" fillId="0" borderId="0" xfId="0" applyNumberFormat="1" applyFont="1" applyAlignment="1">
      <alignment horizontal="center"/>
    </xf>
    <xf numFmtId="0" fontId="121" fillId="0" borderId="0" xfId="0" applyFont="1" applyAlignment="1">
      <alignment horizontal="center"/>
    </xf>
    <xf numFmtId="0" fontId="138" fillId="0" borderId="0" xfId="0" applyFont="1"/>
    <xf numFmtId="0" fontId="0" fillId="16" borderId="1" xfId="0" applyFill="1" applyBorder="1"/>
    <xf numFmtId="2" fontId="17" fillId="16" borderId="1" xfId="0" applyNumberFormat="1" applyFont="1" applyFill="1" applyBorder="1" applyAlignment="1">
      <alignment horizontal="center" vertical="center" wrapText="1"/>
    </xf>
    <xf numFmtId="3" fontId="17" fillId="16" borderId="1" xfId="0" applyNumberFormat="1" applyFont="1" applyFill="1" applyBorder="1" applyAlignment="1">
      <alignment horizontal="center" vertical="center" wrapText="1"/>
    </xf>
    <xf numFmtId="0" fontId="17" fillId="16" borderId="1" xfId="0" applyFont="1" applyFill="1" applyBorder="1" applyAlignment="1">
      <alignment horizontal="center" vertical="center" wrapText="1"/>
    </xf>
    <xf numFmtId="164" fontId="17" fillId="16" borderId="1" xfId="0" applyNumberFormat="1" applyFont="1" applyFill="1" applyBorder="1" applyAlignment="1">
      <alignment horizontal="center" vertical="center" wrapText="1"/>
    </xf>
    <xf numFmtId="0" fontId="17" fillId="16" borderId="1" xfId="0" applyFont="1" applyFill="1" applyBorder="1" applyAlignment="1">
      <alignment horizontal="center" wrapText="1"/>
    </xf>
    <xf numFmtId="0" fontId="0" fillId="16" borderId="0" xfId="0" applyFill="1"/>
    <xf numFmtId="2" fontId="17" fillId="16" borderId="0" xfId="0" applyNumberFormat="1" applyFont="1" applyFill="1" applyAlignment="1">
      <alignment horizontal="center" vertical="center" wrapText="1"/>
    </xf>
    <xf numFmtId="3" fontId="17" fillId="16" borderId="0" xfId="0" applyNumberFormat="1" applyFont="1" applyFill="1" applyAlignment="1">
      <alignment horizontal="center" vertical="center" wrapText="1"/>
    </xf>
    <xf numFmtId="0" fontId="17" fillId="16" borderId="0" xfId="0" applyFont="1" applyFill="1" applyAlignment="1">
      <alignment horizontal="center" vertical="center" wrapText="1"/>
    </xf>
    <xf numFmtId="0" fontId="139" fillId="2" borderId="0" xfId="0" applyFont="1" applyFill="1"/>
    <xf numFmtId="10" fontId="17" fillId="0" borderId="0" xfId="2" applyNumberFormat="1" applyFont="1" applyFill="1"/>
    <xf numFmtId="3" fontId="17" fillId="0" borderId="3" xfId="0" applyNumberFormat="1" applyFont="1" applyBorder="1" applyAlignment="1">
      <alignment horizontal="center"/>
    </xf>
    <xf numFmtId="0" fontId="17" fillId="0" borderId="3" xfId="0" applyFont="1" applyBorder="1" applyAlignment="1">
      <alignment horizontal="center"/>
    </xf>
    <xf numFmtId="3" fontId="17" fillId="0" borderId="13" xfId="0" applyNumberFormat="1" applyFont="1" applyBorder="1" applyAlignment="1">
      <alignment horizontal="center"/>
    </xf>
    <xf numFmtId="3" fontId="17" fillId="0" borderId="11" xfId="0" applyNumberFormat="1" applyFont="1" applyBorder="1" applyAlignment="1">
      <alignment horizontal="center"/>
    </xf>
    <xf numFmtId="3" fontId="17" fillId="0" borderId="4" xfId="0" applyNumberFormat="1" applyFont="1" applyBorder="1" applyAlignment="1">
      <alignment horizontal="center"/>
    </xf>
    <xf numFmtId="3" fontId="17" fillId="0" borderId="16" xfId="0" applyNumberFormat="1" applyFont="1" applyBorder="1" applyAlignment="1">
      <alignment horizontal="center"/>
    </xf>
    <xf numFmtId="3" fontId="17" fillId="0" borderId="14" xfId="0" applyNumberFormat="1" applyFont="1" applyBorder="1" applyAlignment="1">
      <alignment horizontal="center"/>
    </xf>
    <xf numFmtId="0" fontId="17" fillId="0" borderId="4" xfId="0" applyFont="1" applyBorder="1" applyAlignment="1">
      <alignment horizontal="center"/>
    </xf>
    <xf numFmtId="3" fontId="17" fillId="0" borderId="5" xfId="0" applyNumberFormat="1" applyFont="1" applyBorder="1" applyAlignment="1">
      <alignment horizontal="center"/>
    </xf>
    <xf numFmtId="3" fontId="17" fillId="0" borderId="18" xfId="0" applyNumberFormat="1" applyFont="1" applyBorder="1" applyAlignment="1">
      <alignment horizontal="center"/>
    </xf>
    <xf numFmtId="3" fontId="17" fillId="0" borderId="17" xfId="0" applyNumberFormat="1" applyFont="1" applyBorder="1" applyAlignment="1">
      <alignment horizontal="center"/>
    </xf>
    <xf numFmtId="0" fontId="17" fillId="0" borderId="5" xfId="0" applyFont="1" applyBorder="1" applyAlignment="1">
      <alignment horizontal="center"/>
    </xf>
    <xf numFmtId="0" fontId="62" fillId="0" borderId="3" xfId="0" applyFont="1" applyBorder="1" applyAlignment="1">
      <alignment horizontal="center"/>
    </xf>
    <xf numFmtId="0" fontId="62" fillId="0" borderId="13" xfId="0" applyFont="1" applyBorder="1" applyAlignment="1">
      <alignment horizontal="center"/>
    </xf>
    <xf numFmtId="0" fontId="62" fillId="0" borderId="11" xfId="0" applyFont="1" applyBorder="1" applyAlignment="1">
      <alignment horizontal="center"/>
    </xf>
    <xf numFmtId="0" fontId="62" fillId="0" borderId="5" xfId="0" applyFont="1" applyBorder="1" applyAlignment="1">
      <alignment horizontal="center"/>
    </xf>
    <xf numFmtId="0" fontId="62" fillId="0" borderId="18" xfId="0" applyFont="1" applyBorder="1" applyAlignment="1">
      <alignment horizontal="center"/>
    </xf>
    <xf numFmtId="0" fontId="62" fillId="0" borderId="17" xfId="0" applyFont="1" applyBorder="1" applyAlignment="1">
      <alignment horizontal="center"/>
    </xf>
    <xf numFmtId="0" fontId="62" fillId="0" borderId="6" xfId="0" applyFont="1" applyBorder="1" applyAlignment="1">
      <alignment horizontal="centerContinuous"/>
    </xf>
    <xf numFmtId="0" fontId="62" fillId="0" borderId="2" xfId="0" applyFont="1" applyBorder="1" applyAlignment="1">
      <alignment horizontal="centerContinuous"/>
    </xf>
    <xf numFmtId="0" fontId="62" fillId="0" borderId="4" xfId="0" applyFont="1" applyBorder="1" applyAlignment="1">
      <alignment horizontal="center"/>
    </xf>
    <xf numFmtId="0" fontId="62" fillId="0" borderId="16" xfId="0" applyFont="1" applyBorder="1" applyAlignment="1">
      <alignment horizontal="center"/>
    </xf>
    <xf numFmtId="0" fontId="62" fillId="0" borderId="10" xfId="0" applyFont="1" applyBorder="1" applyAlignment="1">
      <alignment horizontal="centerContinuous"/>
    </xf>
    <xf numFmtId="0" fontId="17" fillId="0" borderId="4" xfId="0" applyFont="1" applyBorder="1" applyAlignment="1">
      <alignment horizontal="left"/>
    </xf>
    <xf numFmtId="3" fontId="62" fillId="0" borderId="3" xfId="0" applyNumberFormat="1" applyFont="1" applyBorder="1" applyAlignment="1">
      <alignment horizontal="center"/>
    </xf>
    <xf numFmtId="0" fontId="17" fillId="0" borderId="13" xfId="0" applyFont="1" applyBorder="1" applyAlignment="1">
      <alignment horizontal="center"/>
    </xf>
    <xf numFmtId="9" fontId="17" fillId="0" borderId="1" xfId="0" applyNumberFormat="1" applyFont="1" applyBorder="1" applyAlignment="1">
      <alignment horizontal="center" vertical="center" wrapText="1"/>
    </xf>
    <xf numFmtId="0" fontId="62" fillId="0" borderId="1" xfId="0" applyFont="1" applyBorder="1" applyAlignment="1">
      <alignment horizontal="center" wrapText="1"/>
    </xf>
    <xf numFmtId="0" fontId="62" fillId="0" borderId="15" xfId="0" applyFont="1" applyBorder="1" applyAlignment="1">
      <alignment horizontal="center" wrapText="1"/>
    </xf>
    <xf numFmtId="0" fontId="39" fillId="2" borderId="0" xfId="0" applyFont="1" applyFill="1" applyAlignment="1">
      <alignment vertical="center"/>
    </xf>
    <xf numFmtId="3" fontId="20" fillId="2" borderId="0" xfId="0" applyNumberFormat="1" applyFont="1" applyFill="1"/>
    <xf numFmtId="3" fontId="20" fillId="2" borderId="3" xfId="0" applyNumberFormat="1" applyFont="1" applyFill="1" applyBorder="1" applyAlignment="1">
      <alignment horizontal="center" vertical="center" wrapText="1"/>
    </xf>
    <xf numFmtId="3" fontId="20" fillId="2" borderId="4" xfId="0" applyNumberFormat="1"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4" xfId="0" applyFont="1" applyFill="1" applyBorder="1" applyAlignment="1">
      <alignment wrapText="1"/>
    </xf>
    <xf numFmtId="43" fontId="140" fillId="0" borderId="0" xfId="0" applyNumberFormat="1" applyFont="1"/>
    <xf numFmtId="0" fontId="140" fillId="0" borderId="0" xfId="0" applyFont="1"/>
    <xf numFmtId="0" fontId="141" fillId="8" borderId="0" xfId="0" applyFont="1" applyFill="1"/>
    <xf numFmtId="0" fontId="83" fillId="0" borderId="0" xfId="0" applyFont="1"/>
    <xf numFmtId="0" fontId="142" fillId="2" borderId="0" xfId="0" applyFont="1" applyFill="1"/>
    <xf numFmtId="0" fontId="143" fillId="2" borderId="0" xfId="0" applyFont="1" applyFill="1"/>
    <xf numFmtId="0" fontId="145" fillId="0" borderId="0" xfId="0" applyFont="1"/>
    <xf numFmtId="0" fontId="20" fillId="0" borderId="0" xfId="0" applyFont="1" applyAlignment="1">
      <alignment horizontal="left" vertical="center" indent="5"/>
    </xf>
    <xf numFmtId="43" fontId="3" fillId="0" borderId="0" xfId="0" applyNumberFormat="1" applyFont="1" applyAlignment="1">
      <alignment horizontal="right"/>
    </xf>
    <xf numFmtId="43" fontId="0" fillId="0" borderId="0" xfId="0" applyNumberFormat="1"/>
    <xf numFmtId="0" fontId="3" fillId="0" borderId="0" xfId="0" applyFont="1"/>
    <xf numFmtId="0" fontId="3" fillId="0" borderId="0" xfId="0" applyFont="1" applyAlignment="1">
      <alignment horizontal="right"/>
    </xf>
    <xf numFmtId="0" fontId="26" fillId="0" borderId="0" xfId="0" applyFont="1"/>
    <xf numFmtId="43" fontId="0" fillId="0" borderId="0" xfId="1" applyFont="1"/>
    <xf numFmtId="9" fontId="0" fillId="0" borderId="0" xfId="1" applyNumberFormat="1" applyFont="1"/>
    <xf numFmtId="0" fontId="145" fillId="2" borderId="0" xfId="0" applyFont="1" applyFill="1"/>
    <xf numFmtId="0" fontId="120" fillId="2" borderId="0" xfId="0" applyFont="1" applyFill="1" applyAlignment="1">
      <alignment horizontal="left" vertical="center" indent="5"/>
    </xf>
    <xf numFmtId="0" fontId="145" fillId="2" borderId="1" xfId="0" applyFont="1" applyFill="1" applyBorder="1" applyAlignment="1">
      <alignment horizontal="center" vertical="center" wrapText="1"/>
    </xf>
    <xf numFmtId="164" fontId="145" fillId="2" borderId="1" xfId="0" applyNumberFormat="1" applyFont="1" applyFill="1" applyBorder="1" applyAlignment="1">
      <alignment horizontal="center" vertical="center" wrapText="1"/>
    </xf>
    <xf numFmtId="0" fontId="146" fillId="2" borderId="1" xfId="0" applyFont="1" applyFill="1" applyBorder="1" applyAlignment="1">
      <alignment vertical="center" wrapText="1"/>
    </xf>
    <xf numFmtId="0" fontId="146" fillId="2" borderId="1" xfId="0" applyFont="1" applyFill="1" applyBorder="1" applyAlignment="1">
      <alignment horizontal="center" vertical="center" wrapText="1"/>
    </xf>
    <xf numFmtId="9" fontId="145" fillId="2" borderId="1" xfId="0" applyNumberFormat="1" applyFont="1" applyFill="1" applyBorder="1" applyAlignment="1">
      <alignment horizontal="center" vertical="center" wrapText="1"/>
    </xf>
    <xf numFmtId="0" fontId="2" fillId="8" borderId="0" xfId="0" applyFont="1" applyFill="1"/>
    <xf numFmtId="166" fontId="0" fillId="8" borderId="0" xfId="1" applyNumberFormat="1" applyFont="1" applyFill="1"/>
    <xf numFmtId="9" fontId="5" fillId="2" borderId="0" xfId="0" applyNumberFormat="1" applyFont="1" applyFill="1" applyAlignment="1">
      <alignment horizontal="center" wrapText="1"/>
    </xf>
    <xf numFmtId="164" fontId="0" fillId="8" borderId="0" xfId="0" applyNumberFormat="1" applyFill="1"/>
    <xf numFmtId="0" fontId="0" fillId="8" borderId="0" xfId="0" applyFill="1"/>
    <xf numFmtId="0" fontId="62" fillId="8" borderId="0" xfId="0" applyFont="1" applyFill="1" applyAlignment="1">
      <alignment vertical="center"/>
    </xf>
    <xf numFmtId="0" fontId="5" fillId="8" borderId="0" xfId="0" applyFont="1" applyFill="1" applyAlignment="1">
      <alignment wrapText="1"/>
    </xf>
    <xf numFmtId="0" fontId="114" fillId="0" borderId="0" xfId="0" applyFont="1" applyAlignment="1">
      <alignment horizontal="left" vertical="center" indent="5"/>
    </xf>
    <xf numFmtId="3" fontId="0" fillId="0" borderId="1" xfId="0" applyNumberFormat="1" applyBorder="1" applyAlignment="1">
      <alignment horizontal="left" indent="4"/>
    </xf>
    <xf numFmtId="3" fontId="0" fillId="0" borderId="1" xfId="0" applyNumberFormat="1" applyBorder="1" applyAlignment="1">
      <alignment horizontal="right" indent="2"/>
    </xf>
    <xf numFmtId="171" fontId="0" fillId="0" borderId="1" xfId="0" applyNumberFormat="1" applyBorder="1" applyAlignment="1">
      <alignment horizontal="center"/>
    </xf>
    <xf numFmtId="0" fontId="147" fillId="2" borderId="0" xfId="0" applyFont="1" applyFill="1"/>
    <xf numFmtId="164" fontId="5" fillId="2" borderId="1" xfId="0" applyNumberFormat="1" applyFont="1" applyFill="1" applyBorder="1" applyAlignment="1">
      <alignment horizontal="center" vertical="center" wrapText="1"/>
    </xf>
    <xf numFmtId="173" fontId="5" fillId="2" borderId="1" xfId="2"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inden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5" fillId="8" borderId="0" xfId="0" applyFont="1" applyFill="1" applyAlignment="1">
      <alignment vertical="center" wrapText="1"/>
    </xf>
    <xf numFmtId="0" fontId="114" fillId="0" borderId="0" xfId="0" applyFont="1" applyAlignment="1">
      <alignment horizontal="center" vertical="center"/>
    </xf>
    <xf numFmtId="2" fontId="0" fillId="0" borderId="1" xfId="0" applyNumberFormat="1" applyBorder="1"/>
    <xf numFmtId="43" fontId="26" fillId="0" borderId="1" xfId="1" applyFont="1" applyBorder="1"/>
    <xf numFmtId="0" fontId="41" fillId="0" borderId="0" xfId="0" applyFont="1" applyAlignment="1">
      <alignment horizontal="left" vertical="center"/>
    </xf>
    <xf numFmtId="0" fontId="31" fillId="0" borderId="0" xfId="0" applyFont="1" applyAlignment="1">
      <alignment horizontal="left" vertical="center"/>
    </xf>
    <xf numFmtId="0" fontId="5" fillId="2" borderId="0" xfId="0" applyFont="1" applyFill="1" applyAlignment="1">
      <alignment horizontal="left" vertical="center" indent="2"/>
    </xf>
    <xf numFmtId="0" fontId="114" fillId="0" borderId="0" xfId="0" applyFont="1" applyAlignment="1">
      <alignment horizontal="left" vertical="center"/>
    </xf>
    <xf numFmtId="3" fontId="0" fillId="0" borderId="0" xfId="0" applyNumberFormat="1" applyAlignment="1">
      <alignment horizontal="center"/>
    </xf>
    <xf numFmtId="172" fontId="0" fillId="0" borderId="0" xfId="0" applyNumberFormat="1" applyAlignment="1">
      <alignment horizontal="center"/>
    </xf>
    <xf numFmtId="170" fontId="4" fillId="0" borderId="1" xfId="0" applyNumberFormat="1" applyFont="1" applyBorder="1"/>
    <xf numFmtId="3" fontId="4" fillId="0" borderId="1" xfId="0" applyNumberFormat="1" applyFont="1" applyBorder="1"/>
    <xf numFmtId="172" fontId="0" fillId="0" borderId="6" xfId="0" applyNumberFormat="1" applyBorder="1" applyAlignment="1">
      <alignment horizontal="center"/>
    </xf>
    <xf numFmtId="170" fontId="36" fillId="4" borderId="1" xfId="0" applyNumberFormat="1" applyFont="1" applyFill="1" applyBorder="1"/>
    <xf numFmtId="3" fontId="36" fillId="0" borderId="1" xfId="0" applyNumberFormat="1" applyFont="1" applyBorder="1"/>
    <xf numFmtId="0" fontId="148" fillId="0" borderId="0" xfId="0" applyFont="1" applyAlignment="1">
      <alignment horizontal="left" vertical="center" indent="5"/>
    </xf>
    <xf numFmtId="0" fontId="4" fillId="4" borderId="0" xfId="0" applyFont="1" applyFill="1"/>
    <xf numFmtId="0" fontId="149" fillId="0" borderId="0" xfId="0" applyFont="1" applyAlignment="1">
      <alignment horizontal="left" vertical="center" indent="5"/>
    </xf>
    <xf numFmtId="170" fontId="0" fillId="0" borderId="0" xfId="0" applyNumberFormat="1" applyAlignment="1">
      <alignment horizontal="center"/>
    </xf>
    <xf numFmtId="3" fontId="0" fillId="0" borderId="0" xfId="0" applyNumberFormat="1"/>
    <xf numFmtId="170" fontId="4" fillId="0" borderId="1" xfId="0" applyNumberFormat="1" applyFont="1" applyBorder="1" applyAlignment="1">
      <alignment horizontal="center"/>
    </xf>
    <xf numFmtId="3" fontId="4" fillId="0" borderId="1" xfId="0" applyNumberFormat="1" applyFont="1" applyBorder="1" applyAlignment="1">
      <alignment horizontal="center"/>
    </xf>
    <xf numFmtId="0" fontId="84" fillId="2" borderId="0" xfId="0" applyFont="1" applyFill="1" applyAlignment="1">
      <alignment vertical="top"/>
    </xf>
    <xf numFmtId="173" fontId="5" fillId="2" borderId="1" xfId="0" applyNumberFormat="1" applyFont="1" applyFill="1" applyBorder="1" applyAlignment="1">
      <alignment horizontal="right" vertical="center" wrapText="1" indent="2"/>
    </xf>
    <xf numFmtId="3" fontId="5" fillId="2" borderId="1" xfId="0" applyNumberFormat="1" applyFont="1" applyFill="1" applyBorder="1" applyAlignment="1">
      <alignment horizontal="right" vertical="center" wrapText="1" indent="2"/>
    </xf>
    <xf numFmtId="0" fontId="5" fillId="2" borderId="1" xfId="0" applyFont="1" applyFill="1" applyBorder="1" applyAlignment="1">
      <alignment horizontal="right" vertical="center" wrapText="1" indent="3"/>
    </xf>
    <xf numFmtId="3" fontId="5" fillId="2" borderId="1" xfId="0" applyNumberFormat="1" applyFont="1" applyFill="1" applyBorder="1" applyAlignment="1">
      <alignment horizontal="right" vertical="center" wrapText="1" indent="3"/>
    </xf>
    <xf numFmtId="0" fontId="150" fillId="0" borderId="1" xfId="0" applyFont="1" applyBorder="1" applyAlignment="1">
      <alignment horizontal="center"/>
    </xf>
    <xf numFmtId="0" fontId="151" fillId="0" borderId="0" xfId="0" applyFont="1"/>
    <xf numFmtId="0" fontId="36" fillId="0" borderId="2" xfId="0" applyFont="1" applyBorder="1"/>
    <xf numFmtId="0" fontId="152" fillId="0" borderId="0" xfId="0" applyFont="1"/>
    <xf numFmtId="9" fontId="4" fillId="0" borderId="1" xfId="0" applyNumberFormat="1" applyFont="1" applyBorder="1" applyAlignment="1">
      <alignment horizontal="center"/>
    </xf>
    <xf numFmtId="171" fontId="4" fillId="0" borderId="1" xfId="0" applyNumberFormat="1" applyFont="1" applyBorder="1"/>
    <xf numFmtId="0" fontId="4" fillId="0" borderId="13" xfId="0" applyFont="1" applyBorder="1"/>
    <xf numFmtId="0" fontId="147" fillId="0" borderId="0" xfId="0" applyFont="1"/>
    <xf numFmtId="0" fontId="5" fillId="2" borderId="1" xfId="0" applyFont="1" applyFill="1" applyBorder="1" applyAlignment="1">
      <alignment horizontal="right" vertical="center" wrapText="1" indent="2"/>
    </xf>
    <xf numFmtId="0" fontId="5" fillId="2" borderId="4" xfId="0" applyFont="1" applyFill="1" applyBorder="1" applyAlignment="1">
      <alignment horizontal="center" wrapText="1"/>
    </xf>
    <xf numFmtId="3" fontId="5" fillId="2" borderId="4" xfId="0" applyNumberFormat="1" applyFont="1" applyFill="1" applyBorder="1" applyAlignment="1">
      <alignment horizontal="right" wrapText="1" indent="3"/>
    </xf>
    <xf numFmtId="3" fontId="5" fillId="2" borderId="4" xfId="0" applyNumberFormat="1" applyFont="1" applyFill="1" applyBorder="1" applyAlignment="1">
      <alignment horizontal="right" wrapText="1" indent="2"/>
    </xf>
    <xf numFmtId="3" fontId="5" fillId="2" borderId="4" xfId="0" applyNumberFormat="1" applyFont="1" applyFill="1" applyBorder="1" applyAlignment="1">
      <alignment horizontal="center" wrapText="1"/>
    </xf>
    <xf numFmtId="9" fontId="5" fillId="2" borderId="1" xfId="2" applyFont="1" applyFill="1" applyBorder="1" applyAlignment="1">
      <alignment horizontal="center" vertical="center" wrapText="1"/>
    </xf>
    <xf numFmtId="9" fontId="5" fillId="2" borderId="1" xfId="0" applyNumberFormat="1" applyFont="1" applyFill="1" applyBorder="1" applyAlignment="1">
      <alignment horizontal="center" vertical="center"/>
    </xf>
    <xf numFmtId="0" fontId="5" fillId="2" borderId="0" xfId="0" applyFont="1" applyFill="1" applyAlignment="1">
      <alignment horizontal="left" vertical="top"/>
    </xf>
    <xf numFmtId="173" fontId="4" fillId="0" borderId="0" xfId="2" applyNumberFormat="1" applyFont="1" applyAlignment="1">
      <alignment horizontal="center"/>
    </xf>
    <xf numFmtId="43" fontId="4" fillId="0" borderId="0" xfId="0" applyNumberFormat="1" applyFont="1"/>
    <xf numFmtId="0" fontId="4" fillId="0" borderId="0" xfId="0" applyFont="1" applyAlignment="1">
      <alignment horizontal="right"/>
    </xf>
    <xf numFmtId="175" fontId="4" fillId="0" borderId="0" xfId="1" applyNumberFormat="1" applyFont="1"/>
    <xf numFmtId="173" fontId="5" fillId="2" borderId="1" xfId="0" applyNumberFormat="1" applyFont="1" applyFill="1" applyBorder="1"/>
    <xf numFmtId="0" fontId="5" fillId="2" borderId="6" xfId="0" applyFont="1" applyFill="1" applyBorder="1"/>
    <xf numFmtId="0" fontId="5" fillId="2" borderId="10" xfId="0" applyFont="1" applyFill="1" applyBorder="1"/>
    <xf numFmtId="0" fontId="5" fillId="2" borderId="2" xfId="0" applyFont="1" applyFill="1" applyBorder="1"/>
    <xf numFmtId="9" fontId="5" fillId="2" borderId="1" xfId="0" applyNumberFormat="1" applyFont="1" applyFill="1" applyBorder="1"/>
    <xf numFmtId="3" fontId="36" fillId="0" borderId="1" xfId="0" applyNumberFormat="1" applyFont="1" applyBorder="1" applyAlignment="1">
      <alignment horizontal="center"/>
    </xf>
    <xf numFmtId="0" fontId="36" fillId="0" borderId="1" xfId="0" applyFont="1" applyBorder="1" applyAlignment="1">
      <alignment horizontal="right"/>
    </xf>
    <xf numFmtId="173" fontId="4" fillId="0" borderId="1" xfId="2" applyNumberFormat="1" applyFont="1" applyBorder="1" applyAlignment="1">
      <alignment horizontal="center"/>
    </xf>
    <xf numFmtId="3" fontId="112" fillId="0" borderId="1" xfId="0" applyNumberFormat="1" applyFont="1" applyBorder="1" applyAlignment="1">
      <alignment horizontal="center" vertical="center" wrapText="1"/>
    </xf>
    <xf numFmtId="0" fontId="112" fillId="0" borderId="1" xfId="0" applyFont="1" applyBorder="1" applyAlignment="1">
      <alignment horizontal="center" vertical="center" wrapText="1"/>
    </xf>
    <xf numFmtId="173" fontId="22" fillId="0" borderId="1" xfId="2" applyNumberFormat="1" applyFont="1" applyBorder="1" applyAlignment="1">
      <alignment horizontal="center"/>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90" fillId="0" borderId="1" xfId="0" applyFont="1" applyBorder="1" applyAlignment="1">
      <alignment horizontal="center" vertical="center" wrapText="1"/>
    </xf>
    <xf numFmtId="0" fontId="118" fillId="2" borderId="0" xfId="0" applyFont="1" applyFill="1" applyAlignment="1">
      <alignment horizontal="left" vertical="center" indent="5"/>
    </xf>
    <xf numFmtId="0" fontId="30" fillId="2" borderId="0" xfId="0" applyFont="1" applyFill="1" applyAlignment="1">
      <alignment vertical="center" wrapText="1"/>
    </xf>
    <xf numFmtId="3" fontId="30" fillId="2" borderId="0" xfId="0" applyNumberFormat="1" applyFont="1" applyFill="1" applyAlignment="1">
      <alignment horizontal="center" vertical="center" wrapText="1"/>
    </xf>
    <xf numFmtId="0" fontId="30" fillId="2" borderId="0" xfId="0" applyFont="1" applyFill="1" applyAlignment="1">
      <alignment horizontal="center" vertical="center" wrapText="1"/>
    </xf>
    <xf numFmtId="3" fontId="30" fillId="2" borderId="1" xfId="0" applyNumberFormat="1" applyFont="1" applyFill="1" applyBorder="1" applyAlignment="1">
      <alignment horizontal="center" vertical="center" wrapText="1"/>
    </xf>
    <xf numFmtId="0" fontId="30" fillId="2" borderId="1" xfId="0" applyFont="1" applyFill="1" applyBorder="1" applyAlignment="1">
      <alignment horizontal="center" vertical="center" wrapText="1"/>
    </xf>
    <xf numFmtId="0" fontId="153" fillId="2" borderId="1" xfId="0" applyFont="1" applyFill="1" applyBorder="1" applyAlignment="1">
      <alignment horizontal="center" vertical="center" wrapText="1"/>
    </xf>
    <xf numFmtId="0" fontId="93" fillId="0" borderId="0" xfId="0" applyFont="1" applyAlignment="1">
      <alignment vertical="top" wrapText="1"/>
    </xf>
    <xf numFmtId="0" fontId="93" fillId="2" borderId="0" xfId="0" applyFont="1" applyFill="1" applyAlignment="1">
      <alignment horizontal="center" vertical="top"/>
    </xf>
    <xf numFmtId="0" fontId="154" fillId="0" borderId="0" xfId="0" applyFont="1" applyAlignment="1">
      <alignment horizontal="left" vertical="center"/>
    </xf>
    <xf numFmtId="10" fontId="29" fillId="0" borderId="0" xfId="0" applyNumberFormat="1" applyFont="1"/>
    <xf numFmtId="173" fontId="29" fillId="0" borderId="0" xfId="2" applyNumberFormat="1" applyFont="1"/>
    <xf numFmtId="194" fontId="112" fillId="0" borderId="1" xfId="1" applyNumberFormat="1" applyFont="1" applyFill="1" applyBorder="1" applyAlignment="1">
      <alignment horizontal="center" vertical="top" wrapText="1"/>
    </xf>
    <xf numFmtId="173" fontId="29" fillId="0" borderId="1" xfId="0" applyNumberFormat="1" applyFont="1" applyBorder="1" applyAlignment="1">
      <alignment horizontal="center"/>
    </xf>
    <xf numFmtId="173" fontId="29" fillId="0" borderId="1" xfId="2" applyNumberFormat="1" applyFont="1" applyBorder="1"/>
    <xf numFmtId="173" fontId="29" fillId="0" borderId="1" xfId="2" applyNumberFormat="1" applyFont="1" applyBorder="1" applyAlignment="1">
      <alignment horizontal="center"/>
    </xf>
    <xf numFmtId="10" fontId="29" fillId="0" borderId="1" xfId="0" applyNumberFormat="1" applyFont="1" applyBorder="1" applyAlignment="1">
      <alignment horizontal="center" vertical="center" wrapText="1"/>
    </xf>
    <xf numFmtId="173" fontId="29" fillId="0" borderId="1" xfId="2" applyNumberFormat="1" applyFont="1" applyBorder="1" applyAlignment="1">
      <alignment horizontal="center" vertical="center" wrapText="1"/>
    </xf>
    <xf numFmtId="173" fontId="29" fillId="0" borderId="2" xfId="2" applyNumberFormat="1" applyFont="1" applyBorder="1" applyAlignment="1">
      <alignment vertical="center"/>
    </xf>
    <xf numFmtId="173" fontId="29" fillId="0" borderId="1" xfId="2" applyNumberFormat="1" applyFont="1" applyBorder="1" applyAlignment="1">
      <alignment horizontal="center" vertical="center"/>
    </xf>
    <xf numFmtId="0" fontId="112" fillId="0" borderId="0" xfId="0" applyFont="1"/>
    <xf numFmtId="0" fontId="155" fillId="0" borderId="0" xfId="0" applyFont="1" applyAlignment="1">
      <alignment horizontal="center"/>
    </xf>
    <xf numFmtId="173" fontId="112" fillId="0" borderId="0" xfId="2" applyNumberFormat="1" applyFont="1"/>
    <xf numFmtId="175" fontId="112" fillId="0" borderId="0" xfId="1" applyNumberFormat="1" applyFont="1"/>
    <xf numFmtId="0" fontId="112" fillId="0" borderId="0" xfId="0" applyFont="1" applyAlignment="1">
      <alignment vertical="top" wrapText="1"/>
    </xf>
    <xf numFmtId="0" fontId="145" fillId="0" borderId="0" xfId="0" applyFont="1" applyAlignment="1">
      <alignment vertical="top" wrapText="1"/>
    </xf>
    <xf numFmtId="0" fontId="145" fillId="2" borderId="0" xfId="0" applyFont="1" applyFill="1" applyAlignment="1">
      <alignment horizontal="center" vertical="top"/>
    </xf>
    <xf numFmtId="0" fontId="93" fillId="0" borderId="0" xfId="0" applyFont="1"/>
    <xf numFmtId="0" fontId="9" fillId="2" borderId="6" xfId="0" applyFont="1" applyFill="1" applyBorder="1"/>
    <xf numFmtId="0" fontId="9" fillId="2" borderId="10" xfId="0" applyFont="1" applyFill="1" applyBorder="1"/>
    <xf numFmtId="0" fontId="9" fillId="2" borderId="2" xfId="0" applyFont="1" applyFill="1" applyBorder="1" applyAlignment="1">
      <alignment horizontal="left" indent="1"/>
    </xf>
    <xf numFmtId="173" fontId="9" fillId="2" borderId="1" xfId="0" applyNumberFormat="1" applyFont="1" applyFill="1" applyBorder="1" applyAlignment="1">
      <alignment horizontal="center"/>
    </xf>
    <xf numFmtId="0" fontId="9" fillId="0" borderId="0" xfId="0" applyFont="1" applyAlignment="1">
      <alignment vertical="top" wrapText="1"/>
    </xf>
    <xf numFmtId="0" fontId="4" fillId="0" borderId="0" xfId="0" applyFont="1" applyAlignment="1">
      <alignment horizontal="left" vertical="center" indent="5"/>
    </xf>
    <xf numFmtId="3" fontId="20" fillId="3" borderId="1" xfId="0" applyNumberFormat="1" applyFont="1" applyFill="1" applyBorder="1"/>
    <xf numFmtId="0" fontId="20" fillId="2" borderId="0" xfId="0" applyFont="1" applyFill="1" applyAlignment="1">
      <alignment horizontal="left" vertical="center" indent="4"/>
    </xf>
    <xf numFmtId="0" fontId="17" fillId="0" borderId="0" xfId="0" applyFont="1" applyAlignment="1">
      <alignment horizontal="left" vertical="center" indent="10"/>
    </xf>
    <xf numFmtId="0" fontId="17" fillId="0" borderId="0" xfId="0" applyFont="1" applyAlignment="1">
      <alignment horizontal="left" vertical="center" indent="4"/>
    </xf>
    <xf numFmtId="0" fontId="120" fillId="2" borderId="0" xfId="0" applyFont="1" applyFill="1" applyAlignment="1">
      <alignment horizontal="left" vertical="center"/>
    </xf>
    <xf numFmtId="9" fontId="20" fillId="3" borderId="1" xfId="0" applyNumberFormat="1" applyFont="1" applyFill="1" applyBorder="1"/>
    <xf numFmtId="2" fontId="4" fillId="0" borderId="2" xfId="0" applyNumberFormat="1" applyFont="1" applyBorder="1"/>
    <xf numFmtId="0" fontId="4" fillId="0" borderId="0" xfId="0" applyFont="1" applyAlignment="1">
      <alignment horizontal="left" indent="3"/>
    </xf>
    <xf numFmtId="164" fontId="4" fillId="0" borderId="0" xfId="0" applyNumberFormat="1" applyFont="1" applyAlignment="1">
      <alignment horizontal="center"/>
    </xf>
    <xf numFmtId="173" fontId="4" fillId="0" borderId="0" xfId="0" applyNumberFormat="1" applyFont="1"/>
    <xf numFmtId="0" fontId="127" fillId="0" borderId="0" xfId="0" applyFont="1"/>
    <xf numFmtId="0" fontId="158" fillId="2" borderId="0" xfId="0" applyFont="1" applyFill="1"/>
    <xf numFmtId="173" fontId="20" fillId="2" borderId="0" xfId="2" applyNumberFormat="1" applyFont="1" applyFill="1" applyBorder="1" applyAlignment="1">
      <alignment horizontal="center"/>
    </xf>
    <xf numFmtId="164" fontId="4" fillId="0" borderId="1" xfId="2" applyNumberFormat="1" applyFont="1" applyBorder="1" applyAlignment="1">
      <alignment horizontal="center"/>
    </xf>
    <xf numFmtId="0" fontId="4" fillId="0" borderId="0" xfId="0" applyFont="1" applyAlignment="1">
      <alignment horizontal="center" wrapText="1"/>
    </xf>
    <xf numFmtId="170" fontId="20" fillId="2" borderId="1" xfId="2" applyNumberFormat="1" applyFont="1" applyFill="1" applyBorder="1" applyAlignment="1">
      <alignment horizontal="center" vertical="center"/>
    </xf>
    <xf numFmtId="9" fontId="20" fillId="2" borderId="1" xfId="2" applyFont="1" applyFill="1" applyBorder="1" applyAlignment="1">
      <alignment horizontal="center" vertical="center"/>
    </xf>
    <xf numFmtId="173" fontId="4" fillId="0" borderId="1" xfId="0" applyNumberFormat="1" applyFont="1" applyBorder="1" applyAlignment="1">
      <alignment horizontal="center"/>
    </xf>
    <xf numFmtId="173" fontId="4" fillId="0" borderId="0" xfId="0" applyNumberFormat="1" applyFont="1" applyAlignment="1">
      <alignment horizontal="center"/>
    </xf>
    <xf numFmtId="173" fontId="4" fillId="0" borderId="0" xfId="2" applyNumberFormat="1" applyFont="1" applyBorder="1" applyAlignment="1">
      <alignment horizontal="center"/>
    </xf>
    <xf numFmtId="173" fontId="20" fillId="2" borderId="1" xfId="2" applyNumberFormat="1" applyFont="1" applyFill="1" applyBorder="1" applyAlignment="1">
      <alignment horizontal="center"/>
    </xf>
    <xf numFmtId="0" fontId="20" fillId="2" borderId="1" xfId="0" applyFont="1" applyFill="1" applyBorder="1" applyAlignment="1">
      <alignment horizontal="left" indent="1"/>
    </xf>
    <xf numFmtId="2" fontId="22" fillId="0" borderId="0" xfId="0" applyNumberFormat="1" applyFont="1"/>
    <xf numFmtId="2" fontId="4" fillId="0" borderId="0" xfId="0" applyNumberFormat="1" applyFont="1"/>
    <xf numFmtId="0" fontId="125" fillId="0" borderId="0" xfId="0" applyFont="1"/>
    <xf numFmtId="173" fontId="4" fillId="0" borderId="0" xfId="2" applyNumberFormat="1" applyFont="1" applyAlignment="1">
      <alignment vertical="center"/>
    </xf>
    <xf numFmtId="173" fontId="36" fillId="0" borderId="0" xfId="2" applyNumberFormat="1" applyFont="1" applyAlignment="1">
      <alignment vertical="center"/>
    </xf>
    <xf numFmtId="0" fontId="159" fillId="0" borderId="0" xfId="0" applyFont="1"/>
    <xf numFmtId="173" fontId="36" fillId="0" borderId="1" xfId="2" applyNumberFormat="1" applyFont="1" applyBorder="1"/>
    <xf numFmtId="0" fontId="127" fillId="0" borderId="0" xfId="0" applyFont="1" applyAlignment="1">
      <alignment horizontal="center"/>
    </xf>
    <xf numFmtId="4" fontId="20" fillId="2" borderId="1" xfId="0" applyNumberFormat="1" applyFont="1" applyFill="1" applyBorder="1" applyAlignment="1">
      <alignment horizontal="center"/>
    </xf>
    <xf numFmtId="0" fontId="20" fillId="2" borderId="6" xfId="0" applyFont="1" applyFill="1" applyBorder="1" applyAlignment="1">
      <alignment horizontal="center"/>
    </xf>
    <xf numFmtId="173" fontId="36" fillId="0" borderId="0" xfId="2" applyNumberFormat="1" applyFont="1"/>
    <xf numFmtId="2" fontId="4" fillId="0" borderId="1" xfId="0" applyNumberFormat="1" applyFont="1" applyBorder="1"/>
    <xf numFmtId="14" fontId="4" fillId="0" borderId="1" xfId="0" applyNumberFormat="1" applyFont="1" applyBorder="1"/>
    <xf numFmtId="43" fontId="4" fillId="0" borderId="1" xfId="0" applyNumberFormat="1" applyFont="1" applyBorder="1"/>
    <xf numFmtId="2" fontId="5" fillId="2" borderId="1" xfId="1" applyNumberFormat="1" applyFont="1" applyFill="1" applyBorder="1" applyAlignment="1">
      <alignment horizontal="center"/>
    </xf>
    <xf numFmtId="0" fontId="6" fillId="2" borderId="1" xfId="0" applyFont="1" applyFill="1" applyBorder="1" applyAlignment="1">
      <alignment horizontal="right"/>
    </xf>
    <xf numFmtId="10" fontId="5" fillId="2" borderId="1" xfId="0" applyNumberFormat="1" applyFont="1" applyFill="1" applyBorder="1"/>
    <xf numFmtId="9" fontId="5" fillId="2" borderId="0" xfId="0" applyNumberFormat="1" applyFont="1" applyFill="1" applyAlignment="1">
      <alignment horizontal="center"/>
    </xf>
    <xf numFmtId="37" fontId="5" fillId="2" borderId="0" xfId="1" applyNumberFormat="1" applyFont="1" applyFill="1" applyAlignment="1">
      <alignment horizontal="center"/>
    </xf>
    <xf numFmtId="0" fontId="4" fillId="2" borderId="1" xfId="0" applyFont="1" applyFill="1" applyBorder="1"/>
    <xf numFmtId="37" fontId="5" fillId="2" borderId="1" xfId="1" applyNumberFormat="1" applyFont="1" applyFill="1" applyBorder="1"/>
    <xf numFmtId="166" fontId="5" fillId="2" borderId="1" xfId="1" applyNumberFormat="1" applyFont="1" applyFill="1" applyBorder="1"/>
    <xf numFmtId="186" fontId="5" fillId="2" borderId="1" xfId="0" applyNumberFormat="1" applyFont="1" applyFill="1" applyBorder="1" applyAlignment="1">
      <alignment horizontal="center"/>
    </xf>
    <xf numFmtId="0" fontId="28" fillId="12" borderId="0" xfId="0" applyFont="1" applyFill="1"/>
    <xf numFmtId="0" fontId="5" fillId="2" borderId="0" xfId="0" applyFont="1" applyFill="1" applyAlignment="1">
      <alignment horizontal="left" vertical="center" indent="10"/>
    </xf>
    <xf numFmtId="175" fontId="5" fillId="2" borderId="1" xfId="1" applyNumberFormat="1" applyFont="1" applyFill="1" applyBorder="1" applyAlignment="1">
      <alignment horizontal="center" vertical="center" wrapText="1"/>
    </xf>
    <xf numFmtId="0" fontId="5" fillId="2" borderId="0" xfId="0" applyFont="1" applyFill="1" applyAlignment="1">
      <alignment horizontal="right" vertical="center" indent="2"/>
    </xf>
    <xf numFmtId="171" fontId="5" fillId="2" borderId="1" xfId="0" applyNumberFormat="1" applyFont="1" applyFill="1" applyBorder="1" applyAlignment="1">
      <alignment horizontal="center" vertical="center" wrapText="1"/>
    </xf>
    <xf numFmtId="171" fontId="4" fillId="0" borderId="1" xfId="0" applyNumberFormat="1" applyFont="1" applyBorder="1" applyAlignment="1">
      <alignment horizontal="center" vertical="center" wrapText="1"/>
    </xf>
    <xf numFmtId="3" fontId="17" fillId="0" borderId="1" xfId="1" applyNumberFormat="1" applyFont="1" applyFill="1" applyBorder="1" applyAlignment="1">
      <alignment horizontal="center"/>
    </xf>
    <xf numFmtId="3" fontId="90" fillId="0" borderId="0" xfId="0" applyNumberFormat="1" applyFont="1"/>
    <xf numFmtId="0" fontId="90" fillId="0" borderId="0" xfId="0" applyFont="1" applyAlignment="1">
      <alignment horizontal="right"/>
    </xf>
    <xf numFmtId="2" fontId="160" fillId="0" borderId="1" xfId="1" applyNumberFormat="1" applyFont="1" applyFill="1" applyBorder="1" applyAlignment="1">
      <alignment horizontal="center" vertical="center" wrapText="1"/>
    </xf>
    <xf numFmtId="9" fontId="112" fillId="0" borderId="0" xfId="0" applyNumberFormat="1" applyFont="1"/>
    <xf numFmtId="0" fontId="112" fillId="0" borderId="0" xfId="0" applyFont="1" applyAlignment="1">
      <alignment horizontal="right"/>
    </xf>
    <xf numFmtId="3" fontId="112" fillId="0" borderId="0" xfId="0" applyNumberFormat="1" applyFont="1"/>
    <xf numFmtId="2" fontId="17" fillId="0" borderId="1" xfId="1" applyNumberFormat="1" applyFont="1" applyFill="1" applyBorder="1" applyAlignment="1">
      <alignment horizontal="center"/>
    </xf>
    <xf numFmtId="3" fontId="17" fillId="0" borderId="1" xfId="0" applyNumberFormat="1" applyFont="1" applyBorder="1" applyAlignment="1">
      <alignment horizontal="right" vertical="center"/>
    </xf>
    <xf numFmtId="3" fontId="112" fillId="0" borderId="1" xfId="0" applyNumberFormat="1" applyFont="1" applyBorder="1"/>
    <xf numFmtId="164" fontId="17" fillId="0" borderId="1" xfId="1" applyNumberFormat="1" applyFont="1" applyFill="1" applyBorder="1" applyAlignment="1">
      <alignment horizontal="center"/>
    </xf>
    <xf numFmtId="3" fontId="17" fillId="0" borderId="2" xfId="1" applyNumberFormat="1" applyFont="1" applyFill="1" applyBorder="1" applyAlignment="1">
      <alignment horizontal="center"/>
    </xf>
    <xf numFmtId="0" fontId="160" fillId="0" borderId="1" xfId="0" applyFont="1" applyBorder="1" applyAlignment="1">
      <alignment horizontal="center" vertical="center" wrapText="1"/>
    </xf>
    <xf numFmtId="43" fontId="28" fillId="0" borderId="0" xfId="1" applyFont="1" applyFill="1" applyAlignment="1">
      <alignment horizontal="right"/>
    </xf>
    <xf numFmtId="0" fontId="28" fillId="0" borderId="0" xfId="0" applyFont="1" applyAlignment="1">
      <alignment horizontal="right"/>
    </xf>
    <xf numFmtId="3" fontId="5" fillId="2" borderId="1" xfId="0" applyNumberFormat="1" applyFont="1" applyFill="1" applyBorder="1" applyAlignment="1">
      <alignment horizontal="right" vertical="center"/>
    </xf>
    <xf numFmtId="10" fontId="5" fillId="2" borderId="0" xfId="0" applyNumberFormat="1" applyFont="1" applyFill="1"/>
    <xf numFmtId="37" fontId="5" fillId="2" borderId="0" xfId="1" applyNumberFormat="1" applyFont="1" applyFill="1" applyBorder="1" applyAlignment="1"/>
    <xf numFmtId="166" fontId="5" fillId="2" borderId="0" xfId="1" applyNumberFormat="1" applyFont="1" applyFill="1" applyBorder="1" applyAlignment="1"/>
    <xf numFmtId="170" fontId="5" fillId="2" borderId="1" xfId="0" applyNumberFormat="1" applyFont="1" applyFill="1" applyBorder="1" applyAlignment="1">
      <alignment horizontal="right"/>
    </xf>
    <xf numFmtId="0" fontId="5" fillId="2" borderId="6" xfId="0" applyFont="1" applyFill="1" applyBorder="1" applyAlignment="1">
      <alignment horizontal="left"/>
    </xf>
    <xf numFmtId="0" fontId="5" fillId="2" borderId="2" xfId="0" applyFont="1" applyFill="1" applyBorder="1" applyAlignment="1">
      <alignment horizontal="left"/>
    </xf>
    <xf numFmtId="10" fontId="29" fillId="0" borderId="0" xfId="2" applyNumberFormat="1" applyFont="1"/>
    <xf numFmtId="171" fontId="29" fillId="0" borderId="0" xfId="0" applyNumberFormat="1" applyFont="1"/>
    <xf numFmtId="3" fontId="29" fillId="0" borderId="0" xfId="0" applyNumberFormat="1" applyFont="1"/>
    <xf numFmtId="10" fontId="28" fillId="0" borderId="0" xfId="0" applyNumberFormat="1" applyFont="1"/>
    <xf numFmtId="173" fontId="17" fillId="0" borderId="0" xfId="0" applyNumberFormat="1" applyFont="1"/>
    <xf numFmtId="10" fontId="0" fillId="0" borderId="0" xfId="0" applyNumberFormat="1"/>
    <xf numFmtId="9" fontId="5" fillId="2" borderId="0" xfId="0" applyNumberFormat="1" applyFont="1" applyFill="1" applyAlignment="1">
      <alignment horizontal="left" vertical="center"/>
    </xf>
    <xf numFmtId="3" fontId="5" fillId="2" borderId="0" xfId="0" applyNumberFormat="1" applyFont="1" applyFill="1" applyAlignment="1">
      <alignment horizontal="right"/>
    </xf>
    <xf numFmtId="0" fontId="161" fillId="0" borderId="0" xfId="0" applyFont="1"/>
    <xf numFmtId="0" fontId="3" fillId="8" borderId="0" xfId="0" applyFont="1" applyFill="1"/>
    <xf numFmtId="2" fontId="3" fillId="8" borderId="0" xfId="0" applyNumberFormat="1" applyFont="1" applyFill="1"/>
    <xf numFmtId="0" fontId="162" fillId="0" borderId="0" xfId="0" applyFont="1"/>
    <xf numFmtId="0" fontId="0" fillId="0" borderId="11" xfId="0" applyBorder="1"/>
    <xf numFmtId="0" fontId="0" fillId="0" borderId="12" xfId="0" applyBorder="1"/>
    <xf numFmtId="0" fontId="0" fillId="0" borderId="13" xfId="0" applyBorder="1"/>
    <xf numFmtId="0" fontId="3" fillId="8" borderId="12" xfId="0" applyFont="1" applyFill="1" applyBorder="1"/>
    <xf numFmtId="0" fontId="161" fillId="0" borderId="13" xfId="0" applyFont="1" applyBorder="1"/>
    <xf numFmtId="0" fontId="0" fillId="0" borderId="17" xfId="0" applyBorder="1"/>
    <xf numFmtId="0" fontId="0" fillId="0" borderId="18" xfId="0" applyBorder="1"/>
    <xf numFmtId="0" fontId="0" fillId="0" borderId="14" xfId="0" applyBorder="1"/>
    <xf numFmtId="0" fontId="0" fillId="0" borderId="15" xfId="0" applyBorder="1"/>
    <xf numFmtId="0" fontId="0" fillId="0" borderId="16" xfId="0" applyBorder="1"/>
    <xf numFmtId="0" fontId="4" fillId="0" borderId="16" xfId="0" applyFont="1" applyBorder="1"/>
    <xf numFmtId="166" fontId="40" fillId="0" borderId="0" xfId="1" applyNumberFormat="1" applyFont="1"/>
    <xf numFmtId="175" fontId="40" fillId="0" borderId="0" xfId="1" applyNumberFormat="1" applyFont="1"/>
    <xf numFmtId="0" fontId="163" fillId="0" borderId="0" xfId="0" applyFont="1"/>
    <xf numFmtId="0" fontId="40" fillId="0" borderId="0" xfId="0" applyFont="1" applyAlignment="1">
      <alignment wrapText="1"/>
    </xf>
    <xf numFmtId="0" fontId="3" fillId="8" borderId="6" xfId="0" applyFont="1" applyFill="1" applyBorder="1"/>
    <xf numFmtId="0" fontId="0" fillId="0" borderId="10" xfId="0" applyBorder="1"/>
    <xf numFmtId="0" fontId="161" fillId="0" borderId="2" xfId="0" applyFont="1" applyBorder="1"/>
    <xf numFmtId="170" fontId="5" fillId="2" borderId="0" xfId="0" applyNumberFormat="1" applyFont="1" applyFill="1" applyAlignment="1">
      <alignment horizontal="right"/>
    </xf>
    <xf numFmtId="173" fontId="53" fillId="8" borderId="0" xfId="0" applyNumberFormat="1" applyFont="1" applyFill="1"/>
    <xf numFmtId="173" fontId="0" fillId="0" borderId="0" xfId="2" applyNumberFormat="1" applyFont="1"/>
    <xf numFmtId="173" fontId="0" fillId="0" borderId="0" xfId="0" applyNumberFormat="1"/>
    <xf numFmtId="173" fontId="53" fillId="8" borderId="0" xfId="2" applyNumberFormat="1" applyFont="1" applyFill="1"/>
    <xf numFmtId="0" fontId="53" fillId="8" borderId="0" xfId="0" applyFont="1" applyFill="1"/>
    <xf numFmtId="2" fontId="5" fillId="2" borderId="1" xfId="0" applyNumberFormat="1" applyFont="1" applyFill="1" applyBorder="1" applyAlignment="1">
      <alignment horizontal="center" vertical="center"/>
    </xf>
    <xf numFmtId="10" fontId="5" fillId="2" borderId="0" xfId="0" applyNumberFormat="1" applyFont="1" applyFill="1" applyAlignment="1">
      <alignment horizontal="center" vertical="center" wrapText="1"/>
    </xf>
    <xf numFmtId="3" fontId="5" fillId="2" borderId="10" xfId="0" applyNumberFormat="1" applyFont="1" applyFill="1" applyBorder="1" applyAlignment="1">
      <alignment horizontal="right"/>
    </xf>
    <xf numFmtId="173" fontId="52" fillId="0" borderId="0" xfId="2" applyNumberFormat="1" applyFont="1"/>
    <xf numFmtId="173" fontId="53" fillId="0" borderId="26" xfId="2" applyNumberFormat="1" applyFont="1" applyBorder="1"/>
    <xf numFmtId="3" fontId="52" fillId="0" borderId="2" xfId="0" applyNumberFormat="1" applyFont="1" applyBorder="1"/>
    <xf numFmtId="3" fontId="52" fillId="0" borderId="1" xfId="0" applyNumberFormat="1" applyFont="1" applyBorder="1"/>
    <xf numFmtId="0" fontId="52" fillId="0" borderId="1" xfId="0" applyFont="1" applyBorder="1"/>
    <xf numFmtId="173" fontId="53" fillId="0" borderId="27" xfId="2" applyNumberFormat="1" applyFont="1" applyBorder="1"/>
    <xf numFmtId="0" fontId="141" fillId="0" borderId="28" xfId="0" applyFont="1" applyBorder="1" applyAlignment="1">
      <alignment horizontal="center" wrapText="1"/>
    </xf>
    <xf numFmtId="0" fontId="41" fillId="0" borderId="2" xfId="0" applyFont="1" applyBorder="1" applyAlignment="1">
      <alignment horizontal="center" wrapText="1"/>
    </xf>
    <xf numFmtId="0" fontId="41" fillId="0" borderId="1" xfId="0" applyFont="1" applyBorder="1" applyAlignment="1">
      <alignment horizontal="center" wrapText="1"/>
    </xf>
    <xf numFmtId="9" fontId="5" fillId="2" borderId="1" xfId="2" applyFont="1" applyFill="1" applyBorder="1" applyAlignment="1"/>
    <xf numFmtId="4" fontId="5" fillId="2" borderId="1" xfId="0" applyNumberFormat="1" applyFont="1" applyFill="1" applyBorder="1"/>
    <xf numFmtId="173" fontId="3" fillId="0" borderId="26" xfId="2" applyNumberFormat="1" applyFont="1" applyBorder="1"/>
    <xf numFmtId="173" fontId="3" fillId="0" borderId="27" xfId="2" applyNumberFormat="1" applyFont="1" applyBorder="1"/>
    <xf numFmtId="2" fontId="52" fillId="0" borderId="1" xfId="0" applyNumberFormat="1" applyFont="1" applyBorder="1"/>
    <xf numFmtId="14" fontId="52" fillId="0" borderId="1" xfId="0" applyNumberFormat="1" applyFont="1" applyBorder="1"/>
    <xf numFmtId="0" fontId="25" fillId="2" borderId="0" xfId="0" applyFont="1" applyFill="1" applyAlignment="1">
      <alignment horizontal="center" wrapText="1"/>
    </xf>
    <xf numFmtId="14" fontId="5" fillId="2" borderId="1" xfId="0" applyNumberFormat="1" applyFont="1" applyFill="1" applyBorder="1" applyAlignment="1">
      <alignment horizontal="center"/>
    </xf>
    <xf numFmtId="0" fontId="57" fillId="0" borderId="0" xfId="0" applyFont="1"/>
    <xf numFmtId="10" fontId="53" fillId="0" borderId="0" xfId="2" applyNumberFormat="1" applyFont="1" applyBorder="1"/>
    <xf numFmtId="37" fontId="53" fillId="0" borderId="0" xfId="0" applyNumberFormat="1" applyFont="1"/>
    <xf numFmtId="173" fontId="57" fillId="0" borderId="0" xfId="2" applyNumberFormat="1" applyFont="1" applyBorder="1"/>
    <xf numFmtId="3" fontId="5" fillId="2" borderId="0" xfId="0" applyNumberFormat="1" applyFont="1" applyFill="1" applyAlignment="1">
      <alignment horizontal="right" vertical="center" indent="9"/>
    </xf>
    <xf numFmtId="10" fontId="62" fillId="0" borderId="1" xfId="2" applyNumberFormat="1" applyFont="1" applyBorder="1"/>
    <xf numFmtId="0" fontId="5" fillId="0" borderId="1" xfId="0" applyFont="1" applyBorder="1"/>
    <xf numFmtId="164" fontId="17" fillId="0" borderId="1" xfId="2" applyNumberFormat="1" applyFont="1" applyFill="1" applyBorder="1" applyAlignment="1">
      <alignment horizontal="center" vertical="center" wrapText="1"/>
    </xf>
    <xf numFmtId="9" fontId="17" fillId="0" borderId="1" xfId="2" applyFont="1" applyFill="1" applyBorder="1" applyAlignment="1">
      <alignment horizontal="center" vertical="center" wrapText="1"/>
    </xf>
    <xf numFmtId="0" fontId="6" fillId="0" borderId="6" xfId="0" applyFont="1" applyBorder="1"/>
    <xf numFmtId="0" fontId="6" fillId="0" borderId="10" xfId="0" applyFont="1" applyBorder="1"/>
    <xf numFmtId="0" fontId="7" fillId="0" borderId="10" xfId="0" applyFont="1" applyBorder="1"/>
    <xf numFmtId="2" fontId="5" fillId="2" borderId="1" xfId="0" applyNumberFormat="1" applyFont="1" applyFill="1" applyBorder="1" applyAlignment="1">
      <alignment horizontal="center" vertical="center" wrapText="1"/>
    </xf>
    <xf numFmtId="3" fontId="5" fillId="2" borderId="0" xfId="0" applyNumberFormat="1" applyFont="1" applyFill="1" applyAlignment="1">
      <alignment horizontal="center"/>
    </xf>
    <xf numFmtId="14" fontId="5" fillId="2" borderId="0" xfId="0" applyNumberFormat="1" applyFont="1" applyFill="1" applyAlignment="1">
      <alignment horizontal="center"/>
    </xf>
    <xf numFmtId="0" fontId="29" fillId="0" borderId="0" xfId="0" applyFont="1" applyAlignment="1">
      <alignment wrapText="1"/>
    </xf>
    <xf numFmtId="171" fontId="62" fillId="12" borderId="1" xfId="0" applyNumberFormat="1" applyFont="1" applyFill="1" applyBorder="1"/>
    <xf numFmtId="171" fontId="17" fillId="0" borderId="1" xfId="0" applyNumberFormat="1" applyFont="1" applyBorder="1" applyAlignment="1">
      <alignment horizontal="right" vertical="center"/>
    </xf>
    <xf numFmtId="0" fontId="62" fillId="0" borderId="6" xfId="0" applyFont="1" applyBorder="1" applyAlignment="1">
      <alignment horizontal="center" wrapText="1"/>
    </xf>
    <xf numFmtId="0" fontId="62" fillId="0" borderId="2" xfId="0" applyFont="1" applyBorder="1" applyAlignment="1">
      <alignment horizontal="center" wrapText="1"/>
    </xf>
    <xf numFmtId="171" fontId="62" fillId="0" borderId="1" xfId="0" applyNumberFormat="1" applyFont="1" applyBorder="1"/>
    <xf numFmtId="164" fontId="62" fillId="0" borderId="1" xfId="0" applyNumberFormat="1" applyFont="1" applyBorder="1"/>
    <xf numFmtId="0" fontId="5" fillId="2" borderId="0" xfId="0" applyFont="1" applyFill="1" applyAlignment="1">
      <alignment horizontal="right" vertical="center"/>
    </xf>
    <xf numFmtId="10" fontId="0" fillId="0" borderId="0" xfId="2" applyNumberFormat="1" applyFont="1" applyAlignment="1">
      <alignment horizontal="center"/>
    </xf>
    <xf numFmtId="10" fontId="0" fillId="0" borderId="0" xfId="2" applyNumberFormat="1" applyFont="1" applyAlignment="1">
      <alignment horizontal="center" vertical="center"/>
    </xf>
    <xf numFmtId="10" fontId="3" fillId="0" borderId="0" xfId="0" applyNumberFormat="1" applyFont="1" applyAlignment="1">
      <alignment horizontal="center"/>
    </xf>
    <xf numFmtId="9" fontId="0" fillId="0" borderId="0" xfId="0" applyNumberFormat="1" applyAlignment="1">
      <alignment horizontal="center"/>
    </xf>
    <xf numFmtId="9" fontId="0" fillId="0" borderId="0" xfId="2" applyFont="1" applyAlignment="1">
      <alignment horizontal="center" vertical="center"/>
    </xf>
    <xf numFmtId="0" fontId="0" fillId="0" borderId="0" xfId="0" applyAlignment="1">
      <alignment horizontal="center" vertical="center"/>
    </xf>
    <xf numFmtId="3" fontId="3" fillId="0" borderId="0" xfId="0" applyNumberFormat="1" applyFont="1"/>
    <xf numFmtId="2" fontId="0" fillId="0" borderId="0" xfId="0" applyNumberFormat="1" applyAlignment="1">
      <alignment horizontal="center"/>
    </xf>
    <xf numFmtId="0" fontId="52" fillId="0" borderId="0" xfId="0" applyFont="1" applyAlignment="1">
      <alignment horizontal="center" vertical="center"/>
    </xf>
    <xf numFmtId="4"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right" vertical="center" wrapText="1" indent="1"/>
    </xf>
    <xf numFmtId="0" fontId="5" fillId="2" borderId="1" xfId="0" applyFont="1" applyFill="1" applyBorder="1" applyAlignment="1">
      <alignment horizontal="right" vertical="center" wrapText="1" indent="1"/>
    </xf>
    <xf numFmtId="3" fontId="5" fillId="2" borderId="1" xfId="0" applyNumberFormat="1" applyFont="1" applyFill="1" applyBorder="1" applyAlignment="1">
      <alignment horizontal="left" vertical="center" wrapText="1" indent="2"/>
    </xf>
    <xf numFmtId="0" fontId="0" fillId="0" borderId="0" xfId="0" applyAlignment="1">
      <alignment vertical="top"/>
    </xf>
    <xf numFmtId="0" fontId="41" fillId="0" borderId="0" xfId="0" applyFont="1" applyAlignment="1">
      <alignment vertical="top"/>
    </xf>
    <xf numFmtId="0" fontId="0" fillId="0" borderId="0" xfId="0" applyAlignment="1">
      <alignment horizontal="left" vertical="center"/>
    </xf>
    <xf numFmtId="0" fontId="164" fillId="0" borderId="0" xfId="0" applyFont="1"/>
    <xf numFmtId="0" fontId="41" fillId="0" borderId="1" xfId="0" applyFont="1" applyBorder="1" applyAlignment="1">
      <alignment horizontal="center"/>
    </xf>
    <xf numFmtId="0" fontId="41" fillId="0" borderId="0" xfId="0" applyFont="1" applyAlignment="1">
      <alignment horizontal="right"/>
    </xf>
    <xf numFmtId="2" fontId="41" fillId="0" borderId="1" xfId="0" applyNumberFormat="1" applyFont="1" applyBorder="1" applyAlignment="1">
      <alignment horizontal="center"/>
    </xf>
    <xf numFmtId="173" fontId="41" fillId="0" borderId="1" xfId="2" applyNumberFormat="1" applyFont="1" applyFill="1" applyBorder="1" applyAlignment="1">
      <alignment horizontal="center"/>
    </xf>
    <xf numFmtId="0" fontId="41" fillId="0" borderId="1" xfId="0" applyFont="1" applyBorder="1"/>
    <xf numFmtId="10" fontId="141" fillId="0" borderId="4" xfId="2" applyNumberFormat="1" applyFont="1" applyFill="1" applyBorder="1"/>
    <xf numFmtId="0" fontId="141" fillId="0" borderId="4" xfId="0" applyFont="1" applyBorder="1"/>
    <xf numFmtId="0" fontId="126" fillId="0" borderId="0" xfId="0" applyFont="1"/>
    <xf numFmtId="0" fontId="41" fillId="0" borderId="0" xfId="0" applyFont="1" applyAlignment="1">
      <alignment vertical="center"/>
    </xf>
    <xf numFmtId="177" fontId="41" fillId="0" borderId="0" xfId="0" applyNumberFormat="1" applyFont="1" applyAlignment="1">
      <alignment horizontal="right" vertical="center" wrapText="1" indent="3"/>
    </xf>
    <xf numFmtId="10" fontId="41" fillId="0" borderId="0" xfId="1" applyNumberFormat="1" applyFont="1" applyFill="1" applyBorder="1" applyAlignment="1">
      <alignment horizontal="center" vertical="center" wrapText="1"/>
    </xf>
    <xf numFmtId="177" fontId="41" fillId="0" borderId="1" xfId="0" applyNumberFormat="1" applyFont="1" applyBorder="1" applyAlignment="1">
      <alignment horizontal="right" vertical="center" wrapText="1" indent="3"/>
    </xf>
    <xf numFmtId="10" fontId="41" fillId="0" borderId="1" xfId="0" applyNumberFormat="1" applyFont="1" applyBorder="1" applyAlignment="1">
      <alignment horizontal="center" vertical="center" wrapText="1"/>
    </xf>
    <xf numFmtId="177" fontId="17" fillId="0" borderId="0" xfId="0" applyNumberFormat="1" applyFont="1" applyAlignment="1">
      <alignment vertical="center"/>
    </xf>
    <xf numFmtId="177" fontId="41" fillId="0" borderId="0" xfId="0" applyNumberFormat="1" applyFont="1"/>
    <xf numFmtId="0" fontId="5" fillId="2" borderId="6" xfId="0" applyFont="1" applyFill="1" applyBorder="1" applyAlignment="1">
      <alignment horizontal="right"/>
    </xf>
    <xf numFmtId="0" fontId="4" fillId="2" borderId="2" xfId="0" applyFont="1" applyFill="1" applyBorder="1"/>
    <xf numFmtId="0" fontId="17" fillId="2" borderId="0" xfId="0" applyFont="1" applyFill="1" applyAlignment="1">
      <alignment vertical="center" wrapText="1"/>
    </xf>
    <xf numFmtId="0" fontId="17" fillId="2" borderId="0" xfId="0" applyFont="1" applyFill="1" applyAlignment="1">
      <alignment vertical="center"/>
    </xf>
    <xf numFmtId="0" fontId="5" fillId="2" borderId="6" xfId="0" applyFont="1" applyFill="1" applyBorder="1" applyAlignment="1">
      <alignment horizontal="right" vertical="center"/>
    </xf>
    <xf numFmtId="0" fontId="5" fillId="2" borderId="2" xfId="0" applyFont="1" applyFill="1" applyBorder="1" applyAlignment="1">
      <alignment vertical="center" wrapText="1"/>
    </xf>
    <xf numFmtId="177" fontId="5" fillId="2" borderId="0" xfId="0" applyNumberFormat="1" applyFont="1" applyFill="1" applyAlignment="1">
      <alignment horizontal="right" vertical="center" wrapText="1" indent="3"/>
    </xf>
    <xf numFmtId="10" fontId="5" fillId="2" borderId="0" xfId="0" applyNumberFormat="1" applyFont="1" applyFill="1" applyAlignment="1">
      <alignment horizontal="left" vertical="center"/>
    </xf>
    <xf numFmtId="0" fontId="118" fillId="2" borderId="0" xfId="0" applyFont="1" applyFill="1" applyAlignment="1">
      <alignment horizontal="left" vertical="center" indent="2"/>
    </xf>
    <xf numFmtId="177" fontId="5" fillId="2" borderId="1" xfId="0" applyNumberFormat="1" applyFont="1" applyFill="1" applyBorder="1" applyAlignment="1">
      <alignment horizontal="right" vertical="center" wrapText="1" indent="2"/>
    </xf>
    <xf numFmtId="195" fontId="5" fillId="2" borderId="1" xfId="0" applyNumberFormat="1" applyFont="1" applyFill="1" applyBorder="1" applyAlignment="1">
      <alignment horizontal="center" vertical="center" wrapText="1"/>
    </xf>
    <xf numFmtId="3" fontId="3" fillId="0" borderId="1" xfId="0" applyNumberFormat="1" applyFont="1" applyBorder="1"/>
    <xf numFmtId="3" fontId="0" fillId="0" borderId="1" xfId="0" applyNumberFormat="1" applyBorder="1" applyAlignment="1">
      <alignment horizontal="center"/>
    </xf>
    <xf numFmtId="0" fontId="3" fillId="0" borderId="1" xfId="0" applyFont="1" applyBorder="1" applyAlignment="1">
      <alignment horizontal="center" wrapText="1"/>
    </xf>
    <xf numFmtId="3" fontId="165" fillId="0" borderId="0" xfId="0" applyNumberFormat="1" applyFont="1" applyAlignment="1">
      <alignment horizontal="right" vertical="center"/>
    </xf>
    <xf numFmtId="173" fontId="0" fillId="0" borderId="1" xfId="2" applyNumberFormat="1" applyFont="1" applyBorder="1"/>
    <xf numFmtId="3" fontId="4" fillId="2" borderId="0" xfId="0" applyNumberFormat="1" applyFont="1" applyFill="1" applyAlignment="1">
      <alignment horizontal="center" vertical="center" wrapText="1"/>
    </xf>
    <xf numFmtId="10" fontId="4" fillId="0" borderId="0" xfId="2" applyNumberFormat="1" applyFont="1"/>
    <xf numFmtId="0" fontId="36" fillId="0" borderId="0" xfId="0" applyFont="1" applyAlignment="1">
      <alignment horizontal="center"/>
    </xf>
    <xf numFmtId="9" fontId="4" fillId="0" borderId="0" xfId="0" applyNumberFormat="1" applyFont="1" applyAlignment="1">
      <alignment horizontal="center"/>
    </xf>
    <xf numFmtId="173" fontId="36" fillId="0" borderId="0" xfId="2" applyNumberFormat="1" applyFont="1" applyAlignment="1">
      <alignment horizontal="center"/>
    </xf>
    <xf numFmtId="169" fontId="4" fillId="0" borderId="0" xfId="0" applyNumberFormat="1" applyFont="1"/>
    <xf numFmtId="0" fontId="118" fillId="2" borderId="0" xfId="0" applyFont="1" applyFill="1" applyAlignment="1">
      <alignment horizontal="left" vertical="center" indent="1"/>
    </xf>
    <xf numFmtId="0" fontId="22" fillId="0" borderId="0" xfId="0" applyFont="1" applyAlignment="1">
      <alignment horizontal="left"/>
    </xf>
    <xf numFmtId="177" fontId="36" fillId="0" borderId="1" xfId="0" applyNumberFormat="1" applyFont="1" applyBorder="1"/>
    <xf numFmtId="0" fontId="5" fillId="2" borderId="4" xfId="0" applyFont="1" applyFill="1" applyBorder="1" applyAlignment="1">
      <alignment vertical="center"/>
    </xf>
    <xf numFmtId="0" fontId="118" fillId="2" borderId="0" xfId="0" applyFont="1" applyFill="1" applyAlignment="1">
      <alignment horizontal="left" vertical="top"/>
    </xf>
    <xf numFmtId="9" fontId="5" fillId="2" borderId="4" xfId="0" applyNumberFormat="1" applyFont="1" applyFill="1" applyBorder="1" applyAlignment="1">
      <alignment horizontal="center" vertical="center"/>
    </xf>
    <xf numFmtId="0" fontId="17" fillId="0" borderId="0" xfId="0" applyFont="1" applyAlignment="1">
      <alignment vertical="center" wrapText="1"/>
    </xf>
    <xf numFmtId="171" fontId="36" fillId="0" borderId="0" xfId="0" applyNumberFormat="1" applyFont="1" applyAlignment="1">
      <alignment horizontal="center"/>
    </xf>
    <xf numFmtId="0" fontId="166" fillId="0" borderId="0" xfId="0" applyFont="1" applyAlignment="1">
      <alignment horizontal="center" vertical="center" wrapText="1"/>
    </xf>
    <xf numFmtId="171" fontId="62" fillId="0" borderId="0" xfId="0" applyNumberFormat="1" applyFont="1" applyAlignment="1">
      <alignment horizontal="center" vertical="center" wrapText="1"/>
    </xf>
    <xf numFmtId="0" fontId="90" fillId="0" borderId="0" xfId="0" applyFont="1" applyAlignment="1">
      <alignment horizontal="center" vertical="center" wrapText="1"/>
    </xf>
    <xf numFmtId="171" fontId="36" fillId="1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164" fontId="36" fillId="0" borderId="0" xfId="0" applyNumberFormat="1" applyFont="1" applyAlignment="1">
      <alignment horizontal="center"/>
    </xf>
    <xf numFmtId="177" fontId="4" fillId="0" borderId="0" xfId="0" applyNumberFormat="1" applyFont="1" applyAlignment="1">
      <alignment horizontal="center"/>
    </xf>
    <xf numFmtId="9" fontId="4" fillId="0" borderId="0" xfId="2" applyFont="1"/>
    <xf numFmtId="196" fontId="29" fillId="0" borderId="0" xfId="0" applyNumberFormat="1" applyFont="1"/>
    <xf numFmtId="0" fontId="29" fillId="17" borderId="0" xfId="0" applyFont="1" applyFill="1"/>
    <xf numFmtId="0" fontId="152" fillId="17" borderId="0" xfId="0" applyFont="1" applyFill="1"/>
    <xf numFmtId="9" fontId="20" fillId="3" borderId="1" xfId="0" applyNumberFormat="1" applyFont="1" applyFill="1" applyBorder="1" applyAlignment="1">
      <alignment horizontal="center"/>
    </xf>
    <xf numFmtId="0" fontId="20" fillId="3" borderId="0" xfId="0" applyFont="1" applyFill="1" applyAlignment="1">
      <alignment horizontal="center"/>
    </xf>
    <xf numFmtId="0" fontId="20" fillId="2" borderId="0" xfId="0" applyFont="1" applyFill="1" applyAlignment="1">
      <alignment horizontal="left" vertical="center" indent="7"/>
    </xf>
    <xf numFmtId="9" fontId="20" fillId="2" borderId="0" xfId="0" applyNumberFormat="1" applyFont="1" applyFill="1" applyAlignment="1">
      <alignment horizontal="left" vertical="center" indent="7"/>
    </xf>
    <xf numFmtId="0" fontId="145" fillId="3" borderId="0" xfId="0" applyFont="1" applyFill="1"/>
    <xf numFmtId="0" fontId="22" fillId="8" borderId="0" xfId="0" applyFont="1" applyFill="1"/>
    <xf numFmtId="173" fontId="4" fillId="0" borderId="0" xfId="2" applyNumberFormat="1" applyFont="1" applyAlignment="1">
      <alignment horizontal="left"/>
    </xf>
    <xf numFmtId="173" fontId="4" fillId="17" borderId="0" xfId="0" applyNumberFormat="1" applyFont="1" applyFill="1" applyAlignment="1">
      <alignment horizontal="center"/>
    </xf>
    <xf numFmtId="173" fontId="4" fillId="17" borderId="0" xfId="2" applyNumberFormat="1" applyFont="1" applyFill="1" applyAlignment="1">
      <alignment horizontal="center"/>
    </xf>
    <xf numFmtId="173" fontId="4" fillId="8" borderId="0" xfId="0" applyNumberFormat="1" applyFont="1" applyFill="1" applyAlignment="1">
      <alignment horizontal="center"/>
    </xf>
    <xf numFmtId="173" fontId="4" fillId="8" borderId="0" xfId="2" applyNumberFormat="1" applyFont="1" applyFill="1" applyAlignment="1">
      <alignment horizontal="center"/>
    </xf>
    <xf numFmtId="0" fontId="4" fillId="17" borderId="0" xfId="0" applyFont="1" applyFill="1" applyAlignment="1">
      <alignment horizontal="center"/>
    </xf>
    <xf numFmtId="0" fontId="4" fillId="8" borderId="0" xfId="0" applyFont="1" applyFill="1" applyAlignment="1">
      <alignment horizontal="center"/>
    </xf>
    <xf numFmtId="0" fontId="4" fillId="17" borderId="0" xfId="0" applyFont="1" applyFill="1"/>
    <xf numFmtId="0" fontId="4" fillId="17" borderId="12" xfId="0" applyFont="1" applyFill="1" applyBorder="1"/>
    <xf numFmtId="0" fontId="4" fillId="8" borderId="12" xfId="0" applyFont="1" applyFill="1" applyBorder="1"/>
    <xf numFmtId="3" fontId="145" fillId="3" borderId="1" xfId="0" applyNumberFormat="1" applyFont="1" applyFill="1" applyBorder="1" applyAlignment="1">
      <alignment horizontal="center"/>
    </xf>
    <xf numFmtId="0" fontId="145" fillId="3" borderId="0" xfId="0" applyFont="1" applyFill="1" applyAlignment="1">
      <alignment horizontal="right"/>
    </xf>
    <xf numFmtId="9" fontId="145" fillId="3" borderId="1" xfId="0" applyNumberFormat="1" applyFont="1" applyFill="1" applyBorder="1" applyAlignment="1">
      <alignment horizontal="center"/>
    </xf>
    <xf numFmtId="0" fontId="0" fillId="0" borderId="0" xfId="0" applyAlignment="1">
      <alignment vertical="center"/>
    </xf>
    <xf numFmtId="0" fontId="29" fillId="0" borderId="0" xfId="0" applyFont="1" applyAlignment="1">
      <alignment vertical="center"/>
    </xf>
    <xf numFmtId="0" fontId="39" fillId="0" borderId="0" xfId="0" applyFont="1" applyAlignment="1">
      <alignment vertical="center"/>
    </xf>
    <xf numFmtId="0" fontId="36" fillId="0" borderId="0" xfId="0" applyFont="1" applyAlignment="1">
      <alignment vertical="center"/>
    </xf>
    <xf numFmtId="9" fontId="36" fillId="0" borderId="0" xfId="0" applyNumberFormat="1" applyFont="1" applyAlignment="1">
      <alignment vertical="center"/>
    </xf>
    <xf numFmtId="9" fontId="4" fillId="0" borderId="0" xfId="0" applyNumberFormat="1" applyFont="1" applyAlignment="1">
      <alignment vertical="center"/>
    </xf>
    <xf numFmtId="182" fontId="4" fillId="0" borderId="0" xfId="1" applyNumberFormat="1" applyFont="1" applyAlignment="1">
      <alignment vertical="center"/>
    </xf>
    <xf numFmtId="9" fontId="39" fillId="0" borderId="0" xfId="0" applyNumberFormat="1" applyFont="1" applyAlignment="1">
      <alignment vertical="center"/>
    </xf>
    <xf numFmtId="173" fontId="4" fillId="0" borderId="1" xfId="2" applyNumberFormat="1" applyFont="1" applyBorder="1" applyAlignment="1">
      <alignment horizontal="center" vertical="center" wrapText="1"/>
    </xf>
    <xf numFmtId="173" fontId="4" fillId="0" borderId="6" xfId="0" applyNumberFormat="1" applyFont="1" applyBorder="1" applyAlignment="1">
      <alignment horizontal="center" vertical="center" wrapText="1"/>
    </xf>
    <xf numFmtId="173" fontId="4"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52" fillId="0" borderId="0" xfId="0" applyFont="1" applyAlignment="1">
      <alignment vertical="center"/>
    </xf>
    <xf numFmtId="0" fontId="20" fillId="3" borderId="1" xfId="0" applyFont="1" applyFill="1" applyBorder="1" applyAlignment="1">
      <alignment horizontal="center" vertical="center"/>
    </xf>
    <xf numFmtId="0" fontId="39" fillId="3" borderId="1" xfId="0" applyFont="1" applyFill="1" applyBorder="1" applyAlignment="1">
      <alignment horizontal="center" vertical="center"/>
    </xf>
    <xf numFmtId="173" fontId="20" fillId="2" borderId="1" xfId="0" applyNumberFormat="1" applyFont="1" applyFill="1" applyBorder="1" applyAlignment="1">
      <alignment horizontal="center" vertical="center" wrapText="1"/>
    </xf>
    <xf numFmtId="0" fontId="20" fillId="3" borderId="3" xfId="0" applyFont="1" applyFill="1" applyBorder="1" applyAlignment="1">
      <alignment horizontal="center" vertical="center"/>
    </xf>
    <xf numFmtId="0" fontId="20" fillId="3" borderId="0" xfId="0" applyFont="1" applyFill="1" applyAlignment="1">
      <alignment horizontal="right" vertical="center"/>
    </xf>
    <xf numFmtId="0" fontId="20" fillId="3" borderId="0" xfId="0" applyFont="1" applyFill="1" applyAlignment="1">
      <alignment vertical="center"/>
    </xf>
    <xf numFmtId="0" fontId="20" fillId="3" borderId="0" xfId="0" applyFont="1" applyFill="1" applyAlignment="1">
      <alignment horizontal="center" vertical="center"/>
    </xf>
    <xf numFmtId="0" fontId="29" fillId="12" borderId="0" xfId="0" applyFont="1" applyFill="1"/>
    <xf numFmtId="0" fontId="17" fillId="12" borderId="0" xfId="0" quotePrefix="1" applyFont="1" applyFill="1" applyAlignment="1">
      <alignment horizontal="left" indent="2"/>
    </xf>
    <xf numFmtId="0" fontId="14" fillId="12" borderId="0" xfId="0" quotePrefix="1" applyFont="1" applyFill="1" applyAlignment="1">
      <alignment horizontal="left" indent="2"/>
    </xf>
    <xf numFmtId="173" fontId="17" fillId="12" borderId="1" xfId="2" applyNumberFormat="1" applyFont="1" applyFill="1" applyBorder="1"/>
    <xf numFmtId="0" fontId="0" fillId="12" borderId="0" xfId="0" applyFill="1"/>
    <xf numFmtId="173" fontId="62" fillId="0" borderId="0" xfId="2" applyNumberFormat="1" applyFont="1"/>
    <xf numFmtId="3" fontId="17" fillId="12" borderId="1" xfId="0" applyNumberFormat="1" applyFont="1" applyFill="1" applyBorder="1"/>
    <xf numFmtId="3" fontId="62" fillId="0" borderId="0" xfId="0" applyNumberFormat="1" applyFont="1"/>
    <xf numFmtId="0" fontId="20" fillId="12" borderId="0" xfId="0" applyFont="1" applyFill="1" applyAlignment="1">
      <alignment horizontal="right"/>
    </xf>
    <xf numFmtId="0" fontId="20" fillId="12" borderId="0" xfId="0" applyFont="1" applyFill="1" applyAlignment="1">
      <alignment horizontal="left"/>
    </xf>
    <xf numFmtId="9" fontId="20" fillId="12" borderId="1" xfId="0" applyNumberFormat="1" applyFont="1" applyFill="1" applyBorder="1" applyAlignment="1">
      <alignment horizontal="right"/>
    </xf>
    <xf numFmtId="0" fontId="20" fillId="3" borderId="0" xfId="0" applyFont="1" applyFill="1" applyAlignment="1">
      <alignment horizontal="left"/>
    </xf>
    <xf numFmtId="9" fontId="20" fillId="18" borderId="1" xfId="0" applyNumberFormat="1" applyFont="1" applyFill="1" applyBorder="1" applyAlignment="1">
      <alignment horizontal="center"/>
    </xf>
    <xf numFmtId="0" fontId="20" fillId="12" borderId="0" xfId="0" applyFont="1" applyFill="1" applyAlignment="1">
      <alignment horizontal="center"/>
    </xf>
    <xf numFmtId="3" fontId="20" fillId="12" borderId="1" xfId="0" applyNumberFormat="1" applyFont="1" applyFill="1" applyBorder="1" applyAlignment="1">
      <alignment horizontal="right"/>
    </xf>
    <xf numFmtId="3" fontId="20" fillId="3" borderId="1" xfId="0" applyNumberFormat="1" applyFont="1" applyFill="1" applyBorder="1" applyAlignment="1">
      <alignment horizontal="right"/>
    </xf>
    <xf numFmtId="3" fontId="20" fillId="18" borderId="1" xfId="0" applyNumberFormat="1" applyFont="1" applyFill="1" applyBorder="1" applyAlignment="1">
      <alignment horizontal="right"/>
    </xf>
    <xf numFmtId="0" fontId="4" fillId="0" borderId="0" xfId="0" applyFont="1" applyAlignment="1">
      <alignment horizontal="left" indent="2"/>
    </xf>
    <xf numFmtId="0" fontId="9" fillId="2" borderId="0" xfId="0" applyFont="1" applyFill="1" applyAlignment="1">
      <alignment horizontal="left" vertical="center"/>
    </xf>
    <xf numFmtId="185" fontId="36" fillId="0" borderId="7" xfId="2" applyNumberFormat="1" applyFont="1" applyBorder="1"/>
    <xf numFmtId="0" fontId="4" fillId="0" borderId="8" xfId="0" applyFont="1" applyBorder="1" applyAlignment="1">
      <alignment horizontal="right" indent="1"/>
    </xf>
    <xf numFmtId="0" fontId="4" fillId="0" borderId="9" xfId="0" applyFont="1" applyBorder="1"/>
    <xf numFmtId="164" fontId="4" fillId="0" borderId="1" xfId="0" applyNumberFormat="1" applyFont="1" applyBorder="1"/>
    <xf numFmtId="9" fontId="4" fillId="0" borderId="1" xfId="2" applyFont="1" applyBorder="1"/>
    <xf numFmtId="16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0" fontId="4" fillId="0" borderId="1" xfId="0" applyFont="1" applyBorder="1" applyAlignment="1">
      <alignment horizontal="left" vertical="center" wrapText="1" indent="1"/>
    </xf>
    <xf numFmtId="172" fontId="36" fillId="0" borderId="7" xfId="0" applyNumberFormat="1" applyFont="1" applyBorder="1"/>
    <xf numFmtId="0" fontId="4" fillId="0" borderId="7" xfId="0" applyFont="1" applyBorder="1" applyAlignment="1">
      <alignment horizontal="center"/>
    </xf>
    <xf numFmtId="171" fontId="36" fillId="0" borderId="7" xfId="0" applyNumberFormat="1" applyFont="1" applyBorder="1"/>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171" fontId="4" fillId="0" borderId="3" xfId="0" applyNumberFormat="1" applyFont="1" applyBorder="1"/>
    <xf numFmtId="0" fontId="169" fillId="2" borderId="0" xfId="0" applyFont="1" applyFill="1"/>
    <xf numFmtId="0" fontId="9" fillId="2" borderId="0" xfId="0" applyFont="1" applyFill="1" applyAlignment="1">
      <alignment vertical="center"/>
    </xf>
    <xf numFmtId="0" fontId="9" fillId="2" borderId="0" xfId="0" applyFont="1" applyFill="1" applyAlignment="1">
      <alignment horizontal="left" vertical="top" wrapText="1"/>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left" vertical="center" wrapText="1" indent="2"/>
    </xf>
    <xf numFmtId="0" fontId="85" fillId="2" borderId="1" xfId="0" applyFont="1" applyFill="1" applyBorder="1" applyAlignment="1">
      <alignment horizontal="left" vertical="center" wrapText="1" indent="1"/>
    </xf>
    <xf numFmtId="0" fontId="4" fillId="2" borderId="0" xfId="0" applyFont="1" applyFill="1" applyAlignment="1">
      <alignment vertical="center"/>
    </xf>
    <xf numFmtId="3" fontId="9" fillId="2" borderId="1" xfId="0" applyNumberFormat="1" applyFont="1" applyFill="1" applyBorder="1" applyAlignment="1">
      <alignment horizontal="right" vertical="center" wrapText="1" indent="1"/>
    </xf>
    <xf numFmtId="9" fontId="9" fillId="2" borderId="1" xfId="0" applyNumberFormat="1" applyFont="1" applyFill="1" applyBorder="1" applyAlignment="1">
      <alignment horizontal="center" vertical="center" wrapText="1"/>
    </xf>
    <xf numFmtId="0" fontId="94" fillId="2" borderId="0" xfId="0" applyFont="1" applyFill="1" applyAlignment="1">
      <alignment horizontal="left" vertical="center" indent="2"/>
    </xf>
    <xf numFmtId="10" fontId="36" fillId="0" borderId="1" xfId="2" applyNumberFormat="1" applyFont="1" applyBorder="1" applyAlignment="1">
      <alignment horizontal="center" vertical="center"/>
    </xf>
    <xf numFmtId="39" fontId="4" fillId="0" borderId="1" xfId="0" applyNumberFormat="1" applyFont="1" applyBorder="1" applyAlignment="1">
      <alignment horizontal="center"/>
    </xf>
    <xf numFmtId="37" fontId="4" fillId="0" borderId="1" xfId="1" applyNumberFormat="1" applyFont="1" applyBorder="1" applyAlignment="1">
      <alignment horizontal="center"/>
    </xf>
    <xf numFmtId="2" fontId="20" fillId="2" borderId="1" xfId="1" applyNumberFormat="1" applyFont="1" applyFill="1" applyBorder="1" applyAlignment="1">
      <alignment horizontal="center"/>
    </xf>
    <xf numFmtId="0" fontId="39" fillId="2" borderId="1" xfId="0" applyFont="1" applyFill="1" applyBorder="1" applyAlignment="1">
      <alignment horizontal="right"/>
    </xf>
    <xf numFmtId="10" fontId="20" fillId="2" borderId="1" xfId="0" applyNumberFormat="1" applyFont="1" applyFill="1" applyBorder="1"/>
    <xf numFmtId="37" fontId="20" fillId="2" borderId="0" xfId="1" applyNumberFormat="1" applyFont="1" applyFill="1" applyAlignment="1">
      <alignment horizontal="center"/>
    </xf>
    <xf numFmtId="37" fontId="20" fillId="2" borderId="1" xfId="1" applyNumberFormat="1" applyFont="1" applyFill="1" applyBorder="1"/>
    <xf numFmtId="186" fontId="20" fillId="2" borderId="1" xfId="0" applyNumberFormat="1" applyFont="1" applyFill="1" applyBorder="1" applyAlignment="1">
      <alignment horizontal="center"/>
    </xf>
    <xf numFmtId="10" fontId="17" fillId="0" borderId="0" xfId="0" applyNumberFormat="1" applyFont="1"/>
    <xf numFmtId="3" fontId="29" fillId="0" borderId="1" xfId="3" applyNumberFormat="1" applyFont="1" applyFill="1" applyBorder="1" applyAlignment="1">
      <alignment horizontal="right"/>
    </xf>
    <xf numFmtId="2" fontId="29" fillId="0" borderId="1" xfId="0" applyNumberFormat="1" applyFont="1" applyBorder="1" applyAlignment="1">
      <alignment horizontal="right"/>
    </xf>
    <xf numFmtId="0" fontId="29" fillId="0" borderId="1" xfId="0" applyFont="1" applyBorder="1" applyAlignment="1">
      <alignment horizontal="center" wrapText="1"/>
    </xf>
    <xf numFmtId="0" fontId="29" fillId="0" borderId="1" xfId="0" applyFont="1" applyBorder="1" applyAlignment="1">
      <alignment horizontal="center"/>
    </xf>
    <xf numFmtId="0" fontId="20" fillId="2" borderId="2" xfId="0" applyFont="1" applyFill="1" applyBorder="1" applyAlignment="1">
      <alignment horizontal="left" indent="1"/>
    </xf>
    <xf numFmtId="10" fontId="17" fillId="0" borderId="0" xfId="2" applyNumberFormat="1" applyFont="1" applyAlignment="1">
      <alignment horizontal="center"/>
    </xf>
    <xf numFmtId="0" fontId="4" fillId="0" borderId="12" xfId="0" applyFont="1" applyBorder="1" applyAlignment="1">
      <alignment horizontal="center" wrapText="1"/>
    </xf>
    <xf numFmtId="197" fontId="20" fillId="2" borderId="1" xfId="0" applyNumberFormat="1" applyFont="1" applyFill="1" applyBorder="1" applyAlignment="1">
      <alignment horizontal="center" vertical="center" wrapText="1"/>
    </xf>
    <xf numFmtId="180" fontId="36" fillId="0" borderId="0" xfId="3" applyFont="1" applyFill="1"/>
    <xf numFmtId="180" fontId="4" fillId="0" borderId="0" xfId="3" applyFont="1" applyFill="1"/>
    <xf numFmtId="2" fontId="17" fillId="0" borderId="0" xfId="0" applyNumberFormat="1" applyFont="1" applyAlignment="1">
      <alignment horizontal="right"/>
    </xf>
    <xf numFmtId="0" fontId="17" fillId="0" borderId="12" xfId="0" quotePrefix="1" applyFont="1" applyBorder="1" applyAlignment="1">
      <alignment horizontal="center"/>
    </xf>
    <xf numFmtId="198" fontId="20" fillId="2" borderId="1" xfId="0" applyNumberFormat="1" applyFont="1" applyFill="1" applyBorder="1" applyAlignment="1">
      <alignment horizontal="center"/>
    </xf>
    <xf numFmtId="199" fontId="20" fillId="2" borderId="1" xfId="0" applyNumberFormat="1" applyFont="1" applyFill="1" applyBorder="1" applyAlignment="1">
      <alignment horizontal="center" vertical="center" wrapText="1"/>
    </xf>
    <xf numFmtId="43" fontId="36" fillId="0" borderId="0" xfId="0" applyNumberFormat="1" applyFont="1"/>
    <xf numFmtId="0" fontId="7" fillId="2" borderId="1" xfId="0" applyFont="1" applyFill="1" applyBorder="1" applyAlignment="1">
      <alignment horizontal="center" vertical="center" wrapText="1"/>
    </xf>
    <xf numFmtId="2" fontId="28" fillId="0" borderId="1" xfId="0" applyNumberFormat="1" applyFont="1" applyBorder="1" applyAlignment="1">
      <alignment horizontal="left" indent="3"/>
    </xf>
    <xf numFmtId="3" fontId="29" fillId="0" borderId="1" xfId="0" applyNumberFormat="1" applyFont="1" applyBorder="1"/>
    <xf numFmtId="0" fontId="29" fillId="0" borderId="1" xfId="0" applyFont="1" applyBorder="1"/>
    <xf numFmtId="3" fontId="152" fillId="0" borderId="1" xfId="0" applyNumberFormat="1" applyFont="1" applyBorder="1"/>
    <xf numFmtId="10" fontId="152" fillId="0" borderId="1" xfId="0" applyNumberFormat="1" applyFont="1" applyBorder="1"/>
    <xf numFmtId="0" fontId="152" fillId="0" borderId="1" xfId="0" applyFont="1" applyBorder="1" applyAlignment="1">
      <alignment horizontal="center"/>
    </xf>
    <xf numFmtId="3" fontId="5" fillId="2" borderId="1" xfId="0" applyNumberFormat="1" applyFont="1" applyFill="1" applyBorder="1" applyAlignment="1">
      <alignment vertical="center"/>
    </xf>
    <xf numFmtId="0" fontId="5" fillId="2" borderId="1" xfId="0" applyFont="1" applyFill="1" applyBorder="1" applyAlignment="1">
      <alignment horizontal="right" vertical="center"/>
    </xf>
    <xf numFmtId="166" fontId="172" fillId="0" borderId="0" xfId="1" applyNumberFormat="1" applyFont="1"/>
    <xf numFmtId="3" fontId="3" fillId="19" borderId="1" xfId="0" applyNumberFormat="1" applyFont="1" applyFill="1" applyBorder="1"/>
    <xf numFmtId="0" fontId="0" fillId="19" borderId="1" xfId="0" applyFill="1" applyBorder="1"/>
    <xf numFmtId="3" fontId="0" fillId="0" borderId="1" xfId="1" applyNumberFormat="1" applyFont="1" applyBorder="1"/>
    <xf numFmtId="0" fontId="3" fillId="19" borderId="0" xfId="0" applyFont="1" applyFill="1"/>
    <xf numFmtId="43" fontId="3" fillId="19" borderId="1" xfId="1" applyFont="1" applyFill="1" applyBorder="1"/>
    <xf numFmtId="0" fontId="3" fillId="19" borderId="1" xfId="0" applyFont="1" applyFill="1" applyBorder="1"/>
    <xf numFmtId="0" fontId="3" fillId="19" borderId="1" xfId="0" applyFont="1" applyFill="1" applyBorder="1" applyAlignment="1">
      <alignment horizontal="center"/>
    </xf>
    <xf numFmtId="37" fontId="3" fillId="19" borderId="1" xfId="1" applyNumberFormat="1" applyFont="1" applyFill="1" applyBorder="1"/>
    <xf numFmtId="164" fontId="0" fillId="0" borderId="1" xfId="0" applyNumberFormat="1" applyBorder="1" applyAlignment="1">
      <alignment horizontal="center"/>
    </xf>
    <xf numFmtId="0" fontId="52" fillId="0" borderId="0" xfId="0" applyFont="1" applyAlignment="1">
      <alignment horizontal="left" indent="1"/>
    </xf>
    <xf numFmtId="1" fontId="173" fillId="0" borderId="1" xfId="0" applyNumberFormat="1" applyFont="1" applyBorder="1"/>
    <xf numFmtId="0" fontId="173" fillId="0" borderId="1" xfId="0" applyFont="1" applyBorder="1"/>
    <xf numFmtId="3" fontId="3" fillId="0" borderId="29" xfId="0" applyNumberFormat="1" applyFont="1" applyBorder="1"/>
    <xf numFmtId="3" fontId="3" fillId="0" borderId="30" xfId="0" applyNumberFormat="1" applyFont="1" applyBorder="1"/>
    <xf numFmtId="0" fontId="0" fillId="0" borderId="30" xfId="0" applyBorder="1"/>
    <xf numFmtId="0" fontId="52" fillId="0" borderId="20" xfId="0" applyFont="1" applyBorder="1"/>
    <xf numFmtId="0" fontId="52" fillId="0" borderId="21" xfId="0" applyFont="1" applyBorder="1"/>
    <xf numFmtId="3" fontId="0" fillId="0" borderId="31" xfId="0" applyNumberFormat="1" applyBorder="1"/>
    <xf numFmtId="0" fontId="0" fillId="0" borderId="1" xfId="0" applyBorder="1" applyAlignment="1">
      <alignment horizontal="left"/>
    </xf>
    <xf numFmtId="0" fontId="52" fillId="0" borderId="32" xfId="0" applyFont="1" applyBorder="1"/>
    <xf numFmtId="0" fontId="0" fillId="0" borderId="31" xfId="0" applyBorder="1" applyAlignment="1">
      <alignment horizontal="center"/>
    </xf>
    <xf numFmtId="0" fontId="52" fillId="0" borderId="33" xfId="0" applyFont="1" applyBorder="1"/>
    <xf numFmtId="0" fontId="52" fillId="0" borderId="10" xfId="0" applyFont="1" applyBorder="1"/>
    <xf numFmtId="0" fontId="0" fillId="0" borderId="34" xfId="0" applyBorder="1"/>
    <xf numFmtId="0" fontId="173" fillId="0" borderId="1" xfId="0" applyFont="1" applyBorder="1" applyAlignment="1">
      <alignment horizontal="center"/>
    </xf>
    <xf numFmtId="0" fontId="174" fillId="0" borderId="1" xfId="0" applyFont="1" applyBorder="1" applyAlignment="1">
      <alignment horizontal="center" wrapText="1"/>
    </xf>
    <xf numFmtId="0" fontId="52" fillId="0" borderId="35" xfId="0" applyFont="1" applyBorder="1"/>
    <xf numFmtId="3" fontId="3" fillId="0" borderId="33" xfId="0" applyNumberFormat="1" applyFont="1" applyBorder="1"/>
    <xf numFmtId="3" fontId="0" fillId="0" borderId="33" xfId="0" applyNumberFormat="1" applyBorder="1"/>
    <xf numFmtId="0" fontId="0" fillId="0" borderId="33" xfId="0" applyBorder="1" applyAlignment="1">
      <alignment horizontal="center"/>
    </xf>
    <xf numFmtId="37" fontId="0" fillId="0" borderId="33" xfId="1" applyNumberFormat="1" applyFont="1" applyBorder="1"/>
    <xf numFmtId="37" fontId="0" fillId="0" borderId="1" xfId="1" applyNumberFormat="1" applyFont="1" applyBorder="1"/>
    <xf numFmtId="37" fontId="0" fillId="0" borderId="31" xfId="1" applyNumberFormat="1" applyFont="1" applyBorder="1"/>
    <xf numFmtId="3" fontId="53" fillId="0" borderId="31" xfId="0" applyNumberFormat="1" applyFont="1" applyBorder="1"/>
    <xf numFmtId="3" fontId="53" fillId="0" borderId="1" xfId="0" applyNumberFormat="1" applyFont="1" applyBorder="1"/>
    <xf numFmtId="3" fontId="52" fillId="0" borderId="31" xfId="0" applyNumberFormat="1" applyFont="1" applyBorder="1"/>
    <xf numFmtId="0" fontId="52" fillId="0" borderId="36" xfId="0" applyFont="1" applyBorder="1"/>
    <xf numFmtId="0" fontId="52" fillId="0" borderId="37" xfId="0" applyFont="1" applyBorder="1"/>
    <xf numFmtId="0" fontId="0" fillId="0" borderId="38" xfId="0" applyBorder="1"/>
    <xf numFmtId="9" fontId="53" fillId="0" borderId="29" xfId="2" applyFont="1" applyBorder="1"/>
    <xf numFmtId="9" fontId="53" fillId="0" borderId="30" xfId="2" applyFont="1" applyBorder="1"/>
    <xf numFmtId="0" fontId="53" fillId="0" borderId="39" xfId="0" applyFont="1" applyBorder="1" applyAlignment="1">
      <alignment horizontal="left"/>
    </xf>
    <xf numFmtId="0" fontId="53" fillId="0" borderId="40" xfId="0" applyFont="1" applyBorder="1" applyAlignment="1">
      <alignment horizontal="left"/>
    </xf>
    <xf numFmtId="0" fontId="57" fillId="0" borderId="41" xfId="0" applyFont="1" applyBorder="1" applyAlignment="1">
      <alignment horizontal="center" wrapText="1"/>
    </xf>
    <xf numFmtId="0" fontId="57" fillId="0" borderId="42" xfId="0" applyFont="1" applyBorder="1" applyAlignment="1">
      <alignment horizontal="center" wrapText="1"/>
    </xf>
    <xf numFmtId="0" fontId="53" fillId="0" borderId="24" xfId="0" applyFont="1" applyBorder="1"/>
    <xf numFmtId="3" fontId="54" fillId="0" borderId="1" xfId="0" applyNumberFormat="1" applyFont="1" applyBorder="1" applyAlignment="1">
      <alignment horizontal="right" vertical="center" wrapText="1"/>
    </xf>
    <xf numFmtId="164" fontId="54" fillId="0" borderId="1" xfId="0" applyNumberFormat="1" applyFont="1" applyBorder="1" applyAlignment="1">
      <alignment horizontal="center" vertical="center" wrapText="1"/>
    </xf>
    <xf numFmtId="0" fontId="54" fillId="0" borderId="1" xfId="0" applyFont="1" applyBorder="1" applyAlignment="1">
      <alignment horizontal="center" vertical="center" wrapText="1"/>
    </xf>
    <xf numFmtId="0" fontId="54" fillId="0" borderId="3" xfId="0" applyFont="1" applyBorder="1" applyAlignment="1">
      <alignment horizontal="center" wrapText="1"/>
    </xf>
    <xf numFmtId="0" fontId="54" fillId="0" borderId="4" xfId="0" applyFont="1" applyBorder="1" applyAlignment="1">
      <alignment horizontal="center" wrapText="1"/>
    </xf>
    <xf numFmtId="200" fontId="5" fillId="2" borderId="1" xfId="0" applyNumberFormat="1" applyFont="1" applyFill="1" applyBorder="1" applyAlignment="1">
      <alignment horizontal="left"/>
    </xf>
    <xf numFmtId="0" fontId="14" fillId="0" borderId="0" xfId="0" applyFont="1" applyAlignment="1">
      <alignment horizontal="left" vertical="center"/>
    </xf>
    <xf numFmtId="0" fontId="173" fillId="0" borderId="0" xfId="0" applyFont="1"/>
    <xf numFmtId="0" fontId="176" fillId="0" borderId="0" xfId="0" applyFont="1" applyAlignment="1">
      <alignment horizontal="center" vertical="center"/>
    </xf>
    <xf numFmtId="201" fontId="177" fillId="0" borderId="1" xfId="1" applyNumberFormat="1" applyFont="1" applyBorder="1"/>
    <xf numFmtId="202" fontId="173" fillId="0" borderId="1" xfId="0" applyNumberFormat="1" applyFont="1" applyBorder="1"/>
    <xf numFmtId="166" fontId="173" fillId="0" borderId="0" xfId="1" applyNumberFormat="1" applyFont="1"/>
    <xf numFmtId="0" fontId="176" fillId="0" borderId="0" xfId="0" applyFont="1" applyAlignment="1">
      <alignment horizontal="left" vertical="center"/>
    </xf>
    <xf numFmtId="202" fontId="173" fillId="0" borderId="1" xfId="1" applyNumberFormat="1" applyFont="1" applyBorder="1"/>
    <xf numFmtId="37" fontId="173" fillId="0" borderId="1" xfId="1" applyNumberFormat="1" applyFont="1" applyFill="1" applyBorder="1" applyAlignment="1">
      <alignment horizontal="center"/>
    </xf>
    <xf numFmtId="0" fontId="173" fillId="0" borderId="1" xfId="0" applyFont="1" applyBorder="1" applyAlignment="1">
      <alignment horizontal="center" vertical="center"/>
    </xf>
    <xf numFmtId="37" fontId="173" fillId="0" borderId="1" xfId="1" applyNumberFormat="1" applyFont="1" applyBorder="1" applyAlignment="1">
      <alignment horizontal="right"/>
    </xf>
    <xf numFmtId="2" fontId="173" fillId="0" borderId="1" xfId="0" applyNumberFormat="1" applyFont="1" applyBorder="1" applyAlignment="1">
      <alignment horizontal="center"/>
    </xf>
    <xf numFmtId="3" fontId="178" fillId="0" borderId="0" xfId="0" applyNumberFormat="1" applyFont="1"/>
    <xf numFmtId="0" fontId="178" fillId="0" borderId="0" xfId="0" applyFont="1"/>
    <xf numFmtId="202" fontId="3" fillId="0" borderId="0" xfId="1" applyNumberFormat="1" applyFont="1"/>
    <xf numFmtId="0" fontId="3" fillId="0" borderId="0" xfId="0" applyFont="1" applyAlignment="1">
      <alignment horizontal="right" vertical="center"/>
    </xf>
    <xf numFmtId="202" fontId="0" fillId="0" borderId="0" xfId="0" applyNumberFormat="1" applyAlignment="1">
      <alignment vertical="center"/>
    </xf>
    <xf numFmtId="0" fontId="178" fillId="0" borderId="0" xfId="0" applyFont="1" applyAlignment="1">
      <alignment wrapText="1"/>
    </xf>
    <xf numFmtId="0" fontId="179" fillId="0" borderId="0" xfId="0" applyFont="1" applyAlignment="1">
      <alignment horizontal="center" vertical="center"/>
    </xf>
    <xf numFmtId="0" fontId="0" fillId="0" borderId="0" xfId="0" applyAlignment="1">
      <alignment horizontal="right" vertical="center" wrapText="1"/>
    </xf>
    <xf numFmtId="202" fontId="0" fillId="0" borderId="0" xfId="0" applyNumberFormat="1"/>
    <xf numFmtId="202" fontId="0" fillId="0" borderId="1" xfId="0" applyNumberFormat="1" applyBorder="1"/>
    <xf numFmtId="37" fontId="0" fillId="0" borderId="1" xfId="1" applyNumberFormat="1" applyFont="1" applyBorder="1" applyAlignment="1">
      <alignment horizontal="right"/>
    </xf>
    <xf numFmtId="2" fontId="0" fillId="0" borderId="1" xfId="0" applyNumberFormat="1" applyBorder="1" applyAlignment="1">
      <alignment horizontal="center"/>
    </xf>
    <xf numFmtId="0" fontId="148" fillId="0" borderId="0" xfId="0" applyFont="1" applyAlignment="1">
      <alignment horizontal="center" vertical="center"/>
    </xf>
    <xf numFmtId="0" fontId="5" fillId="2" borderId="1" xfId="0" applyFont="1" applyFill="1" applyBorder="1" applyAlignment="1">
      <alignment vertical="top" wrapText="1"/>
    </xf>
    <xf numFmtId="3" fontId="36" fillId="0" borderId="1" xfId="0" applyNumberFormat="1" applyFont="1" applyBorder="1" applyAlignment="1">
      <alignment horizontal="center" vertical="center"/>
    </xf>
    <xf numFmtId="0" fontId="4" fillId="0" borderId="1" xfId="0" applyFont="1" applyBorder="1" applyAlignment="1">
      <alignment horizontal="left" vertical="center"/>
    </xf>
    <xf numFmtId="167" fontId="4" fillId="0" borderId="1" xfId="0" applyNumberFormat="1" applyFont="1" applyBorder="1" applyAlignment="1">
      <alignment horizontal="center"/>
    </xf>
    <xf numFmtId="167" fontId="4" fillId="0" borderId="0" xfId="0" applyNumberFormat="1" applyFont="1"/>
    <xf numFmtId="9" fontId="4" fillId="0" borderId="1" xfId="2" applyFont="1" applyFill="1" applyBorder="1" applyAlignment="1">
      <alignment horizontal="center" vertical="center"/>
    </xf>
    <xf numFmtId="0" fontId="5" fillId="2" borderId="6" xfId="0" applyFont="1" applyFill="1" applyBorder="1" applyAlignment="1">
      <alignment vertical="center" wrapText="1"/>
    </xf>
    <xf numFmtId="177" fontId="5" fillId="2" borderId="1" xfId="0" applyNumberFormat="1" applyFont="1" applyFill="1" applyBorder="1" applyAlignment="1">
      <alignment horizontal="center" vertical="center" wrapText="1"/>
    </xf>
    <xf numFmtId="0" fontId="25" fillId="2" borderId="1" xfId="0" applyFont="1" applyFill="1" applyBorder="1" applyAlignment="1">
      <alignment vertical="center" wrapText="1"/>
    </xf>
    <xf numFmtId="3" fontId="5" fillId="2" borderId="0" xfId="0" applyNumberFormat="1" applyFont="1" applyFill="1" applyAlignment="1">
      <alignment horizontal="right" vertical="center"/>
    </xf>
    <xf numFmtId="202" fontId="29" fillId="0" borderId="0" xfId="1" applyNumberFormat="1" applyFont="1"/>
    <xf numFmtId="202" fontId="29" fillId="0" borderId="0" xfId="0" applyNumberFormat="1" applyFont="1" applyAlignment="1">
      <alignment vertical="center"/>
    </xf>
    <xf numFmtId="0" fontId="29" fillId="0" borderId="0" xfId="0" applyFont="1" applyAlignment="1">
      <alignment horizontal="center" vertical="center"/>
    </xf>
    <xf numFmtId="202" fontId="29" fillId="0" borderId="0" xfId="0" applyNumberFormat="1" applyFont="1"/>
    <xf numFmtId="202" fontId="29" fillId="0" borderId="0" xfId="1" applyNumberFormat="1" applyFont="1" applyBorder="1" applyAlignment="1">
      <alignment horizontal="center"/>
    </xf>
    <xf numFmtId="203" fontId="29" fillId="0" borderId="0" xfId="1" applyNumberFormat="1" applyFont="1" applyBorder="1" applyAlignment="1">
      <alignment horizontal="center"/>
    </xf>
    <xf numFmtId="203" fontId="29" fillId="0" borderId="0" xfId="1" applyNumberFormat="1" applyFont="1" applyAlignment="1">
      <alignment vertical="center" wrapText="1"/>
    </xf>
    <xf numFmtId="0" fontId="180" fillId="0" borderId="0" xfId="0" applyFont="1"/>
    <xf numFmtId="0" fontId="29" fillId="0" borderId="0" xfId="0" applyFont="1" applyAlignment="1">
      <alignment horizontal="left"/>
    </xf>
    <xf numFmtId="180" fontId="90" fillId="8" borderId="0" xfId="0" applyNumberFormat="1" applyFont="1" applyFill="1"/>
    <xf numFmtId="3" fontId="29" fillId="0" borderId="0" xfId="0" applyNumberFormat="1" applyFont="1" applyAlignment="1">
      <alignment horizontal="center"/>
    </xf>
    <xf numFmtId="0" fontId="28" fillId="0" borderId="0" xfId="0" applyFont="1" applyAlignment="1">
      <alignment horizontal="center"/>
    </xf>
    <xf numFmtId="204" fontId="29" fillId="0" borderId="0" xfId="1" applyNumberFormat="1" applyFont="1" applyBorder="1" applyAlignment="1">
      <alignment horizontal="center" vertical="center"/>
    </xf>
    <xf numFmtId="0" fontId="146" fillId="2" borderId="0" xfId="0" applyFont="1" applyFill="1"/>
    <xf numFmtId="0" fontId="145" fillId="2" borderId="0" xfId="0" quotePrefix="1" applyFont="1" applyFill="1" applyAlignment="1">
      <alignment horizontal="center"/>
    </xf>
    <xf numFmtId="0" fontId="29" fillId="0" borderId="0" xfId="0" applyFont="1" applyAlignment="1">
      <alignment vertical="center" wrapText="1"/>
    </xf>
    <xf numFmtId="203" fontId="29" fillId="0" borderId="0" xfId="0" applyNumberFormat="1" applyFont="1" applyAlignment="1">
      <alignment vertical="center" wrapText="1"/>
    </xf>
    <xf numFmtId="3" fontId="29" fillId="0" borderId="0" xfId="0" applyNumberFormat="1" applyFont="1" applyAlignment="1">
      <alignment vertical="center" wrapText="1"/>
    </xf>
    <xf numFmtId="205" fontId="29" fillId="0" borderId="0" xfId="1" applyNumberFormat="1" applyFont="1"/>
    <xf numFmtId="205" fontId="29" fillId="0" borderId="0" xfId="1" applyNumberFormat="1" applyFont="1" applyAlignment="1">
      <alignment horizontal="right"/>
    </xf>
    <xf numFmtId="0" fontId="145" fillId="2" borderId="0" xfId="0" applyFont="1" applyFill="1" applyAlignment="1">
      <alignment horizontal="center" vertical="center"/>
    </xf>
    <xf numFmtId="0" fontId="145" fillId="2" borderId="0" xfId="0" applyFont="1" applyFill="1" applyAlignment="1">
      <alignment horizontal="center"/>
    </xf>
    <xf numFmtId="0" fontId="145" fillId="2" borderId="0" xfId="0" applyFont="1" applyFill="1" applyAlignment="1">
      <alignment horizontal="left" vertical="center"/>
    </xf>
    <xf numFmtId="203" fontId="29" fillId="0" borderId="0" xfId="1" applyNumberFormat="1" applyFont="1"/>
    <xf numFmtId="202" fontId="29" fillId="0" borderId="0" xfId="0" applyNumberFormat="1" applyFont="1" applyAlignment="1">
      <alignment horizontal="center"/>
    </xf>
    <xf numFmtId="173" fontId="29" fillId="0" borderId="0" xfId="0" applyNumberFormat="1" applyFont="1" applyAlignment="1">
      <alignment horizontal="center"/>
    </xf>
    <xf numFmtId="0" fontId="20" fillId="3" borderId="1" xfId="0" applyFont="1" applyFill="1" applyBorder="1" applyAlignment="1">
      <alignment horizontal="center"/>
    </xf>
    <xf numFmtId="0" fontId="145" fillId="2" borderId="0" xfId="0" applyFont="1" applyFill="1" applyAlignment="1">
      <alignment vertical="center" wrapText="1"/>
    </xf>
    <xf numFmtId="0" fontId="181" fillId="2" borderId="0" xfId="0" applyFont="1" applyFill="1" applyAlignment="1">
      <alignment vertical="center"/>
    </xf>
    <xf numFmtId="9" fontId="145" fillId="2" borderId="0" xfId="0" applyNumberFormat="1" applyFont="1" applyFill="1" applyAlignment="1">
      <alignment horizontal="center" vertical="center"/>
    </xf>
    <xf numFmtId="202" fontId="145" fillId="2" borderId="0" xfId="0" applyNumberFormat="1" applyFont="1" applyFill="1"/>
    <xf numFmtId="202" fontId="145" fillId="2" borderId="1" xfId="1" applyNumberFormat="1" applyFont="1" applyFill="1" applyBorder="1" applyAlignment="1">
      <alignment horizontal="center"/>
    </xf>
    <xf numFmtId="173" fontId="145" fillId="2" borderId="1" xfId="0" applyNumberFormat="1" applyFont="1" applyFill="1" applyBorder="1" applyAlignment="1">
      <alignment horizontal="center"/>
    </xf>
    <xf numFmtId="0" fontId="145" fillId="2" borderId="1" xfId="0" applyFont="1" applyFill="1" applyBorder="1" applyAlignment="1">
      <alignment horizontal="center"/>
    </xf>
    <xf numFmtId="0" fontId="83" fillId="2" borderId="0" xfId="0" applyFont="1" applyFill="1" applyAlignment="1">
      <alignment horizontal="left" wrapText="1"/>
    </xf>
    <xf numFmtId="0" fontId="145" fillId="2" borderId="0" xfId="0" applyFont="1" applyFill="1" applyAlignment="1">
      <alignment horizontal="left" wrapText="1"/>
    </xf>
    <xf numFmtId="0" fontId="146" fillId="2" borderId="1" xfId="0" applyFont="1" applyFill="1" applyBorder="1" applyAlignment="1">
      <alignment horizontal="center"/>
    </xf>
    <xf numFmtId="0" fontId="183" fillId="2" borderId="1" xfId="0" applyFont="1" applyFill="1" applyBorder="1" applyAlignment="1">
      <alignment horizontal="center"/>
    </xf>
    <xf numFmtId="0" fontId="145" fillId="2" borderId="0" xfId="0" applyFont="1" applyFill="1" applyAlignment="1">
      <alignment horizontal="left" vertical="center" wrapText="1"/>
    </xf>
    <xf numFmtId="202" fontId="17" fillId="0" borderId="0" xfId="1" applyNumberFormat="1" applyFont="1"/>
    <xf numFmtId="202" fontId="17" fillId="0" borderId="0" xfId="0" applyNumberFormat="1" applyFont="1" applyAlignment="1">
      <alignment vertical="center"/>
    </xf>
    <xf numFmtId="202" fontId="17" fillId="0" borderId="0" xfId="0" applyNumberFormat="1" applyFont="1"/>
    <xf numFmtId="37" fontId="17" fillId="0" borderId="0" xfId="0" applyNumberFormat="1" applyFont="1"/>
    <xf numFmtId="37" fontId="17" fillId="0" borderId="1" xfId="0" applyNumberFormat="1" applyFont="1" applyBorder="1"/>
    <xf numFmtId="0" fontId="82" fillId="0" borderId="0" xfId="0" applyFont="1"/>
    <xf numFmtId="0" fontId="93" fillId="2" borderId="0" xfId="0" applyFont="1" applyFill="1" applyAlignment="1">
      <alignment horizontal="left"/>
    </xf>
    <xf numFmtId="0" fontId="93" fillId="2" borderId="0" xfId="0" applyFont="1" applyFill="1" applyAlignment="1">
      <alignment horizontal="center" vertical="center"/>
    </xf>
    <xf numFmtId="0" fontId="93" fillId="2" borderId="0" xfId="0" applyFont="1" applyFill="1" applyAlignment="1">
      <alignment vertical="center" wrapText="1"/>
    </xf>
    <xf numFmtId="0" fontId="39" fillId="2" borderId="1" xfId="0" applyFont="1" applyFill="1" applyBorder="1" applyAlignment="1">
      <alignment horizontal="center" vertical="center"/>
    </xf>
    <xf numFmtId="164" fontId="20" fillId="2" borderId="0" xfId="0" applyNumberFormat="1" applyFont="1" applyFill="1"/>
    <xf numFmtId="37" fontId="9" fillId="2" borderId="1" xfId="1" applyNumberFormat="1" applyFont="1" applyFill="1" applyBorder="1" applyAlignment="1">
      <alignment horizontal="right" indent="2"/>
    </xf>
    <xf numFmtId="164" fontId="9" fillId="2" borderId="1" xfId="0" applyNumberFormat="1" applyFont="1" applyFill="1" applyBorder="1" applyAlignment="1">
      <alignment horizontal="center"/>
    </xf>
    <xf numFmtId="0" fontId="1" fillId="0" borderId="0" xfId="4"/>
    <xf numFmtId="0" fontId="185" fillId="0" borderId="0" xfId="4" applyFont="1"/>
    <xf numFmtId="0" fontId="1" fillId="0" borderId="0" xfId="4" applyAlignment="1">
      <alignment horizontal="right" vertical="top" indent="1"/>
    </xf>
    <xf numFmtId="0" fontId="187" fillId="0" borderId="0" xfId="4" applyFont="1"/>
    <xf numFmtId="0" fontId="188" fillId="0" borderId="0" xfId="5"/>
    <xf numFmtId="0" fontId="187" fillId="0" borderId="0" xfId="4" applyFont="1" applyAlignment="1">
      <alignment horizontal="left" wrapText="1"/>
    </xf>
    <xf numFmtId="0" fontId="173" fillId="0" borderId="0" xfId="4" applyFont="1" applyAlignment="1">
      <alignment horizontal="left"/>
    </xf>
    <xf numFmtId="0" fontId="173" fillId="0" borderId="0" xfId="4" applyFont="1" applyAlignment="1">
      <alignment horizontal="center"/>
    </xf>
    <xf numFmtId="0" fontId="173" fillId="0" borderId="0" xfId="4" applyFont="1" applyAlignment="1">
      <alignment horizontal="right"/>
    </xf>
    <xf numFmtId="0" fontId="184" fillId="0" borderId="0" xfId="4" applyFont="1" applyAlignment="1">
      <alignment horizontal="center"/>
    </xf>
    <xf numFmtId="0" fontId="186" fillId="0" borderId="0" xfId="4" applyFont="1" applyAlignment="1">
      <alignment horizontal="center"/>
    </xf>
    <xf numFmtId="0" fontId="5" fillId="2" borderId="0" xfId="0" applyFont="1" applyFill="1" applyAlignment="1">
      <alignment vertical="top" wrapText="1"/>
    </xf>
    <xf numFmtId="0" fontId="25" fillId="0" borderId="0" xfId="0" applyFont="1" applyAlignment="1">
      <alignment horizontal="center"/>
    </xf>
    <xf numFmtId="0" fontId="5" fillId="2" borderId="0" xfId="0" applyFont="1" applyFill="1" applyAlignment="1">
      <alignment vertical="center"/>
    </xf>
    <xf numFmtId="0" fontId="0" fillId="2" borderId="0" xfId="0" applyFill="1"/>
    <xf numFmtId="0" fontId="39" fillId="7" borderId="1" xfId="0" applyFont="1" applyFill="1" applyBorder="1" applyAlignment="1">
      <alignment horizontal="center"/>
    </xf>
    <xf numFmtId="0" fontId="6" fillId="7" borderId="4"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37" fillId="7" borderId="1" xfId="0" applyFont="1" applyFill="1" applyBorder="1" applyAlignment="1">
      <alignment horizontal="center"/>
    </xf>
    <xf numFmtId="0" fontId="25" fillId="2" borderId="2" xfId="0" applyFont="1" applyFill="1" applyBorder="1" applyAlignment="1">
      <alignment horizontal="center"/>
    </xf>
    <xf numFmtId="0" fontId="25" fillId="2" borderId="6" xfId="0" applyFont="1" applyFill="1" applyBorder="1" applyAlignment="1">
      <alignment horizontal="center"/>
    </xf>
    <xf numFmtId="0" fontId="37" fillId="7" borderId="4" xfId="0" applyFont="1" applyFill="1" applyBorder="1" applyAlignment="1">
      <alignment horizontal="center" wrapText="1"/>
    </xf>
    <xf numFmtId="0" fontId="0" fillId="0" borderId="3" xfId="0" applyBorder="1" applyAlignment="1">
      <alignment horizontal="center" wrapText="1"/>
    </xf>
    <xf numFmtId="0" fontId="37" fillId="7" borderId="5" xfId="0" applyFont="1" applyFill="1" applyBorder="1" applyAlignment="1">
      <alignment horizontal="center" wrapText="1"/>
    </xf>
    <xf numFmtId="0" fontId="37" fillId="7" borderId="3" xfId="0" applyFont="1" applyFill="1" applyBorder="1" applyAlignment="1">
      <alignment horizontal="center" wrapText="1"/>
    </xf>
    <xf numFmtId="0" fontId="5" fillId="2" borderId="0" xfId="0" applyFont="1" applyFill="1" applyAlignment="1">
      <alignment wrapText="1"/>
    </xf>
    <xf numFmtId="0" fontId="25" fillId="2" borderId="1" xfId="0" applyFont="1" applyFill="1" applyBorder="1" applyAlignment="1">
      <alignment horizontal="center" vertical="center" wrapText="1"/>
    </xf>
    <xf numFmtId="168" fontId="22" fillId="12" borderId="2" xfId="0" applyNumberFormat="1" applyFont="1" applyFill="1" applyBorder="1" applyAlignment="1">
      <alignment horizontal="center"/>
    </xf>
    <xf numFmtId="168" fontId="22" fillId="12" borderId="6" xfId="0" applyNumberFormat="1" applyFont="1" applyFill="1" applyBorder="1" applyAlignment="1">
      <alignment horizontal="center"/>
    </xf>
    <xf numFmtId="170" fontId="22" fillId="11" borderId="2" xfId="0" applyNumberFormat="1" applyFont="1" applyFill="1" applyBorder="1" applyAlignment="1">
      <alignment horizontal="center"/>
    </xf>
    <xf numFmtId="170" fontId="22" fillId="11" borderId="6" xfId="0" applyNumberFormat="1" applyFont="1" applyFill="1" applyBorder="1" applyAlignment="1">
      <alignment horizontal="center"/>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top" wrapText="1"/>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0" fontId="48" fillId="2" borderId="0" xfId="0" applyFont="1" applyFill="1" applyAlignment="1">
      <alignment wrapText="1"/>
    </xf>
    <xf numFmtId="0" fontId="64" fillId="0" borderId="2" xfId="0" applyFont="1" applyBorder="1" applyAlignment="1">
      <alignment horizontal="center"/>
    </xf>
    <xf numFmtId="0" fontId="66" fillId="0" borderId="6" xfId="0" applyFont="1" applyBorder="1" applyAlignment="1">
      <alignment horizontal="center"/>
    </xf>
    <xf numFmtId="0" fontId="4" fillId="0" borderId="0" xfId="0" applyFont="1" applyAlignment="1">
      <alignment horizontal="left" vertical="top" wrapText="1"/>
    </xf>
    <xf numFmtId="0" fontId="4" fillId="0" borderId="0" xfId="0" applyFont="1" applyAlignment="1">
      <alignment horizontal="left" vertical="top"/>
    </xf>
    <xf numFmtId="0" fontId="4" fillId="0" borderId="2" xfId="0" applyFont="1" applyBorder="1" applyAlignment="1">
      <alignment horizontal="center"/>
    </xf>
    <xf numFmtId="0" fontId="4" fillId="0" borderId="6" xfId="0" applyFont="1" applyBorder="1" applyAlignment="1">
      <alignment horizontal="center"/>
    </xf>
    <xf numFmtId="0" fontId="76" fillId="2" borderId="0" xfId="0" applyFont="1" applyFill="1" applyAlignment="1">
      <alignment wrapText="1"/>
    </xf>
    <xf numFmtId="0" fontId="75" fillId="2" borderId="0" xfId="0" applyFont="1" applyFill="1" applyAlignment="1">
      <alignment wrapText="1"/>
    </xf>
    <xf numFmtId="0" fontId="64" fillId="0" borderId="0" xfId="0" applyFont="1" applyAlignment="1">
      <alignment vertical="top" wrapText="1"/>
    </xf>
    <xf numFmtId="0" fontId="20" fillId="2" borderId="0" xfId="0" applyFont="1" applyFill="1" applyAlignment="1">
      <alignment horizontal="left" vertical="center" wrapText="1"/>
    </xf>
    <xf numFmtId="0" fontId="20" fillId="2" borderId="0" xfId="0" applyFont="1" applyFill="1" applyAlignment="1">
      <alignment horizontal="left"/>
    </xf>
    <xf numFmtId="0" fontId="61" fillId="2" borderId="4" xfId="0" applyFont="1" applyFill="1" applyBorder="1" applyAlignment="1">
      <alignment horizontal="center" wrapText="1"/>
    </xf>
    <xf numFmtId="0" fontId="61" fillId="2" borderId="3" xfId="0" applyFont="1" applyFill="1" applyBorder="1" applyAlignment="1">
      <alignment horizontal="center" wrapText="1"/>
    </xf>
    <xf numFmtId="0" fontId="61" fillId="2" borderId="2" xfId="0" applyFont="1" applyFill="1" applyBorder="1" applyAlignment="1">
      <alignment horizontal="center" vertical="center" wrapText="1"/>
    </xf>
    <xf numFmtId="0" fontId="61" fillId="2" borderId="10" xfId="0" applyFont="1" applyFill="1" applyBorder="1" applyAlignment="1">
      <alignment horizontal="center" vertical="center" wrapText="1"/>
    </xf>
    <xf numFmtId="0" fontId="61" fillId="2" borderId="6" xfId="0" applyFont="1" applyFill="1" applyBorder="1" applyAlignment="1">
      <alignment horizontal="center" vertical="center" wrapText="1"/>
    </xf>
    <xf numFmtId="0" fontId="17" fillId="0" borderId="0" xfId="0" applyFont="1" applyAlignment="1">
      <alignment vertical="top" wrapText="1"/>
    </xf>
    <xf numFmtId="0" fontId="17" fillId="0" borderId="0" xfId="0" applyFont="1" applyAlignment="1">
      <alignment vertical="top"/>
    </xf>
    <xf numFmtId="0" fontId="64" fillId="0" borderId="0" xfId="0" applyFont="1" applyAlignment="1">
      <alignment vertical="top"/>
    </xf>
    <xf numFmtId="0" fontId="62" fillId="0" borderId="2" xfId="0" applyFont="1" applyBorder="1" applyAlignment="1">
      <alignment horizontal="center"/>
    </xf>
    <xf numFmtId="0" fontId="62" fillId="0" borderId="6" xfId="0" applyFont="1" applyBorder="1" applyAlignment="1">
      <alignment horizontal="center"/>
    </xf>
    <xf numFmtId="0" fontId="20" fillId="2" borderId="0" xfId="0" applyFont="1" applyFill="1" applyAlignment="1">
      <alignment horizontal="left" wrapText="1"/>
    </xf>
    <xf numFmtId="0" fontId="17" fillId="0" borderId="0" xfId="0" applyFont="1" applyAlignment="1">
      <alignment horizontal="left" vertical="top"/>
    </xf>
    <xf numFmtId="0" fontId="20" fillId="2" borderId="0" xfId="0" applyFont="1" applyFill="1" applyAlignment="1">
      <alignment horizontal="left" vertical="top" wrapText="1"/>
    </xf>
    <xf numFmtId="0" fontId="61" fillId="2" borderId="2" xfId="0" applyFont="1" applyFill="1" applyBorder="1" applyAlignment="1">
      <alignment horizontal="center"/>
    </xf>
    <xf numFmtId="0" fontId="61" fillId="2" borderId="6" xfId="0" applyFont="1" applyFill="1" applyBorder="1" applyAlignment="1">
      <alignment horizontal="center"/>
    </xf>
    <xf numFmtId="0" fontId="61" fillId="2" borderId="10" xfId="0" applyFont="1" applyFill="1" applyBorder="1" applyAlignment="1">
      <alignment horizontal="center"/>
    </xf>
    <xf numFmtId="0" fontId="64" fillId="10" borderId="2" xfId="0" applyFont="1" applyFill="1" applyBorder="1" applyAlignment="1">
      <alignment horizontal="center"/>
    </xf>
    <xf numFmtId="0" fontId="64" fillId="10" borderId="10" xfId="0" applyFont="1" applyFill="1" applyBorder="1" applyAlignment="1">
      <alignment horizontal="center"/>
    </xf>
    <xf numFmtId="0" fontId="64" fillId="10" borderId="6" xfId="0" applyFont="1" applyFill="1" applyBorder="1" applyAlignment="1">
      <alignment horizontal="center"/>
    </xf>
    <xf numFmtId="0" fontId="64" fillId="0" borderId="10" xfId="0" applyFont="1" applyBorder="1" applyAlignment="1">
      <alignment horizontal="center"/>
    </xf>
    <xf numFmtId="0" fontId="64" fillId="0" borderId="6" xfId="0" applyFont="1" applyBorder="1" applyAlignment="1">
      <alignment horizontal="center"/>
    </xf>
    <xf numFmtId="0" fontId="64" fillId="0" borderId="1" xfId="0" applyFont="1" applyBorder="1" applyAlignment="1">
      <alignment horizontal="center"/>
    </xf>
    <xf numFmtId="0" fontId="64" fillId="10" borderId="1" xfId="0" applyFont="1" applyFill="1" applyBorder="1" applyAlignment="1">
      <alignment horizontal="center"/>
    </xf>
    <xf numFmtId="0" fontId="77" fillId="2" borderId="0" xfId="0" applyFont="1" applyFill="1" applyAlignment="1">
      <alignment wrapText="1"/>
    </xf>
    <xf numFmtId="0" fontId="17" fillId="0" borderId="0" xfId="0" applyFont="1" applyAlignment="1">
      <alignment horizontal="left" vertical="top" wrapText="1"/>
    </xf>
    <xf numFmtId="0" fontId="76" fillId="2" borderId="0" xfId="0" applyFont="1" applyFill="1" applyAlignment="1">
      <alignment horizontal="left" vertical="top" wrapText="1"/>
    </xf>
    <xf numFmtId="0" fontId="64" fillId="0" borderId="0" xfId="0" applyFont="1" applyAlignment="1">
      <alignment horizontal="left" vertical="top"/>
    </xf>
    <xf numFmtId="0" fontId="101" fillId="2" borderId="4" xfId="0" applyFont="1" applyFill="1" applyBorder="1" applyAlignment="1">
      <alignment horizontal="center" vertical="center" wrapText="1"/>
    </xf>
    <xf numFmtId="0" fontId="101" fillId="2" borderId="3" xfId="0" applyFont="1" applyFill="1" applyBorder="1" applyAlignment="1">
      <alignment horizontal="center" vertical="center" wrapText="1"/>
    </xf>
    <xf numFmtId="0" fontId="101" fillId="2" borderId="1" xfId="0" applyFont="1" applyFill="1" applyBorder="1" applyAlignment="1">
      <alignment horizontal="center" vertical="center"/>
    </xf>
    <xf numFmtId="0" fontId="20" fillId="2" borderId="0" xfId="0" applyFont="1" applyFill="1" applyAlignment="1">
      <alignment wrapText="1"/>
    </xf>
    <xf numFmtId="170" fontId="64" fillId="0" borderId="1" xfId="0" applyNumberFormat="1" applyFont="1" applyBorder="1"/>
    <xf numFmtId="167" fontId="64" fillId="0" borderId="1" xfId="0" applyNumberFormat="1" applyFont="1" applyBorder="1"/>
    <xf numFmtId="0" fontId="0" fillId="0" borderId="2"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6"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5" fillId="2" borderId="0" xfId="0" applyFont="1" applyFill="1" applyAlignment="1">
      <alignment vertical="center" wrapText="1"/>
    </xf>
    <xf numFmtId="0" fontId="25" fillId="2" borderId="4"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1" xfId="0" applyFont="1" applyFill="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xf>
    <xf numFmtId="0" fontId="17" fillId="0" borderId="6" xfId="0" applyFont="1" applyBorder="1" applyAlignment="1">
      <alignment horizontal="center"/>
    </xf>
    <xf numFmtId="0" fontId="4" fillId="0" borderId="1" xfId="0" applyFont="1" applyBorder="1" applyAlignment="1">
      <alignment horizontal="center"/>
    </xf>
    <xf numFmtId="0" fontId="20" fillId="2" borderId="0" xfId="0" applyFont="1" applyFill="1" applyAlignment="1">
      <alignment vertical="top" wrapText="1"/>
    </xf>
    <xf numFmtId="0" fontId="4" fillId="0" borderId="2" xfId="0" applyFont="1" applyBorder="1" applyAlignment="1">
      <alignment vertical="top" wrapText="1"/>
    </xf>
    <xf numFmtId="0" fontId="4" fillId="0" borderId="6" xfId="0" applyFont="1" applyBorder="1" applyAlignment="1">
      <alignment vertical="top" wrapText="1"/>
    </xf>
    <xf numFmtId="0" fontId="4" fillId="0" borderId="2" xfId="0" applyFont="1" applyBorder="1"/>
    <xf numFmtId="0" fontId="4" fillId="0" borderId="6" xfId="0" applyFont="1" applyBorder="1"/>
    <xf numFmtId="0" fontId="61" fillId="2" borderId="2" xfId="0" applyFont="1" applyFill="1" applyBorder="1" applyAlignment="1">
      <alignment horizontal="center" vertical="center"/>
    </xf>
    <xf numFmtId="0" fontId="61" fillId="2" borderId="10" xfId="0" applyFont="1" applyFill="1" applyBorder="1" applyAlignment="1">
      <alignment horizontal="center" vertical="center"/>
    </xf>
    <xf numFmtId="0" fontId="61" fillId="2" borderId="6" xfId="0" applyFont="1" applyFill="1" applyBorder="1" applyAlignment="1">
      <alignment horizontal="center" vertical="center"/>
    </xf>
    <xf numFmtId="0" fontId="4" fillId="0" borderId="1" xfId="0" applyFont="1" applyBorder="1" applyAlignment="1">
      <alignment horizontal="left" wrapText="1"/>
    </xf>
    <xf numFmtId="0" fontId="4" fillId="0" borderId="1" xfId="0" applyFont="1" applyBorder="1" applyAlignment="1">
      <alignment horizontal="left"/>
    </xf>
    <xf numFmtId="0" fontId="61" fillId="2" borderId="1" xfId="0" applyFont="1" applyFill="1" applyBorder="1" applyAlignment="1">
      <alignment horizontal="center" vertical="center" wrapText="1"/>
    </xf>
    <xf numFmtId="0" fontId="61" fillId="2" borderId="4" xfId="0" applyFont="1" applyFill="1" applyBorder="1" applyAlignment="1">
      <alignment horizontal="center" vertical="center" wrapText="1"/>
    </xf>
    <xf numFmtId="0" fontId="61" fillId="2" borderId="3" xfId="0" applyFont="1" applyFill="1" applyBorder="1" applyAlignment="1">
      <alignment horizontal="center" vertical="center" wrapText="1"/>
    </xf>
    <xf numFmtId="0" fontId="61" fillId="2" borderId="1" xfId="0" applyFont="1" applyFill="1" applyBorder="1" applyAlignment="1">
      <alignment horizontal="center" vertical="center"/>
    </xf>
    <xf numFmtId="3" fontId="20" fillId="2" borderId="1" xfId="0" applyNumberFormat="1" applyFont="1" applyFill="1" applyBorder="1" applyAlignment="1">
      <alignment horizontal="center" vertical="center" wrapText="1"/>
    </xf>
    <xf numFmtId="0" fontId="4" fillId="0" borderId="1" xfId="0" applyFont="1" applyBorder="1"/>
    <xf numFmtId="0" fontId="20" fillId="2" borderId="1" xfId="0" applyFont="1" applyFill="1" applyBorder="1" applyAlignment="1">
      <alignment horizontal="center" vertical="center"/>
    </xf>
    <xf numFmtId="0" fontId="4" fillId="0" borderId="3" xfId="0" applyFont="1" applyBorder="1"/>
    <xf numFmtId="0" fontId="85" fillId="2" borderId="4" xfId="0" applyFont="1" applyFill="1" applyBorder="1" applyAlignment="1">
      <alignment horizontal="center" vertical="center" wrapText="1"/>
    </xf>
    <xf numFmtId="0" fontId="85" fillId="2" borderId="3" xfId="0" applyFont="1" applyFill="1" applyBorder="1" applyAlignment="1">
      <alignment horizontal="center" vertical="center"/>
    </xf>
    <xf numFmtId="0" fontId="85" fillId="2" borderId="1" xfId="0" applyFont="1" applyFill="1" applyBorder="1" applyAlignment="1">
      <alignment horizontal="center" vertical="center"/>
    </xf>
    <xf numFmtId="3" fontId="20" fillId="2" borderId="1" xfId="0" applyNumberFormat="1" applyFont="1" applyFill="1" applyBorder="1" applyAlignment="1">
      <alignment horizontal="center" vertical="center"/>
    </xf>
    <xf numFmtId="9" fontId="20" fillId="2" borderId="1" xfId="0" applyNumberFormat="1" applyFont="1" applyFill="1" applyBorder="1" applyAlignment="1">
      <alignment horizontal="center" vertical="center"/>
    </xf>
    <xf numFmtId="0" fontId="0" fillId="2" borderId="0" xfId="0" applyFill="1" applyAlignment="1">
      <alignment wrapText="1"/>
    </xf>
    <xf numFmtId="0" fontId="61" fillId="2" borderId="1" xfId="0" applyFont="1" applyFill="1" applyBorder="1" applyAlignment="1">
      <alignment horizontal="center"/>
    </xf>
    <xf numFmtId="0" fontId="0" fillId="0" borderId="0" xfId="0" applyAlignment="1">
      <alignment wrapText="1"/>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123" fillId="0" borderId="0" xfId="0" applyFont="1" applyAlignment="1">
      <alignment horizontal="center" vertical="center"/>
    </xf>
    <xf numFmtId="0" fontId="4" fillId="0" borderId="12" xfId="0" applyFont="1" applyBorder="1" applyAlignment="1">
      <alignment horizontal="center"/>
    </xf>
    <xf numFmtId="0" fontId="123" fillId="0" borderId="15" xfId="0" applyFont="1" applyBorder="1" applyAlignment="1">
      <alignment horizontal="center" vertical="center"/>
    </xf>
    <xf numFmtId="0" fontId="61" fillId="2" borderId="1" xfId="0" applyFont="1" applyFill="1" applyBorder="1" applyAlignment="1">
      <alignment vertical="center"/>
    </xf>
    <xf numFmtId="0" fontId="61" fillId="2" borderId="1" xfId="0" applyFont="1" applyFill="1" applyBorder="1" applyAlignment="1">
      <alignment vertical="center" wrapText="1"/>
    </xf>
    <xf numFmtId="0" fontId="17" fillId="0" borderId="1" xfId="0" applyFont="1" applyBorder="1" applyAlignment="1">
      <alignment horizontal="center"/>
    </xf>
    <xf numFmtId="0" fontId="20" fillId="2" borderId="0" xfId="0" quotePrefix="1" applyFont="1" applyFill="1" applyAlignment="1">
      <alignment wrapText="1"/>
    </xf>
    <xf numFmtId="0" fontId="17" fillId="0" borderId="0" xfId="0" applyFont="1" applyAlignment="1">
      <alignment horizontal="center"/>
    </xf>
    <xf numFmtId="0" fontId="20" fillId="2" borderId="1" xfId="0" applyFont="1" applyFill="1" applyBorder="1" applyAlignment="1">
      <alignment vertical="center"/>
    </xf>
    <xf numFmtId="0" fontId="17" fillId="0" borderId="0" xfId="0" applyFont="1" applyAlignment="1">
      <alignment horizontal="center" wrapText="1"/>
    </xf>
    <xf numFmtId="0" fontId="25" fillId="2" borderId="1" xfId="0" applyFont="1" applyFill="1" applyBorder="1"/>
    <xf numFmtId="0" fontId="5" fillId="2" borderId="1" xfId="0" applyFont="1" applyFill="1" applyBorder="1"/>
    <xf numFmtId="0" fontId="25" fillId="2" borderId="4" xfId="0" applyFont="1" applyFill="1" applyBorder="1" applyAlignment="1">
      <alignment horizontal="center" wrapText="1"/>
    </xf>
    <xf numFmtId="0" fontId="25" fillId="2" borderId="3" xfId="0" applyFont="1" applyFill="1" applyBorder="1" applyAlignment="1">
      <alignment horizontal="center" wrapText="1"/>
    </xf>
    <xf numFmtId="0" fontId="25" fillId="2" borderId="2"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0" borderId="12" xfId="0" applyBorder="1" applyAlignment="1">
      <alignment horizontal="center"/>
    </xf>
    <xf numFmtId="0" fontId="25" fillId="2" borderId="1" xfId="0" applyFont="1" applyFill="1" applyBorder="1" applyAlignment="1">
      <alignment horizontal="center"/>
    </xf>
    <xf numFmtId="0" fontId="5" fillId="2" borderId="2" xfId="0" applyFont="1" applyFill="1" applyBorder="1" applyAlignment="1">
      <alignment horizontal="left" vertical="center"/>
    </xf>
    <xf numFmtId="0" fontId="5" fillId="2" borderId="10" xfId="0" applyFont="1" applyFill="1" applyBorder="1" applyAlignment="1">
      <alignment horizontal="left" vertical="center"/>
    </xf>
    <xf numFmtId="0" fontId="5" fillId="2" borderId="6" xfId="0" applyFont="1" applyFill="1" applyBorder="1" applyAlignment="1">
      <alignment horizontal="left" vertical="center"/>
    </xf>
    <xf numFmtId="0" fontId="25" fillId="2" borderId="10" xfId="0" applyFont="1" applyFill="1" applyBorder="1" applyAlignment="1">
      <alignment horizontal="center"/>
    </xf>
    <xf numFmtId="3" fontId="25" fillId="2" borderId="2" xfId="0" applyNumberFormat="1" applyFont="1" applyFill="1" applyBorder="1" applyAlignment="1">
      <alignment horizontal="center" vertical="center" wrapText="1"/>
    </xf>
    <xf numFmtId="3" fontId="25" fillId="2" borderId="6" xfId="0" applyNumberFormat="1" applyFont="1" applyFill="1" applyBorder="1" applyAlignment="1">
      <alignment horizontal="center" vertical="center" wrapText="1"/>
    </xf>
    <xf numFmtId="9" fontId="25" fillId="2" borderId="4" xfId="2" applyFont="1" applyFill="1" applyBorder="1" applyAlignment="1">
      <alignment horizontal="center" wrapText="1"/>
    </xf>
    <xf numFmtId="9" fontId="25" fillId="2" borderId="3" xfId="2" applyFont="1" applyFill="1" applyBorder="1" applyAlignment="1">
      <alignment horizontal="center"/>
    </xf>
    <xf numFmtId="3" fontId="5" fillId="2" borderId="1" xfId="0" applyNumberFormat="1" applyFont="1" applyFill="1" applyBorder="1" applyAlignment="1">
      <alignment horizontal="left" vertical="center" indent="1"/>
    </xf>
    <xf numFmtId="0" fontId="5" fillId="2" borderId="2"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2" xfId="0" applyFont="1" applyFill="1" applyBorder="1" applyAlignment="1">
      <alignment horizontal="center"/>
    </xf>
    <xf numFmtId="0" fontId="5" fillId="2" borderId="10" xfId="0" applyFont="1" applyFill="1" applyBorder="1" applyAlignment="1">
      <alignment horizontal="center"/>
    </xf>
    <xf numFmtId="0" fontId="5" fillId="2" borderId="6" xfId="0" applyFont="1" applyFill="1" applyBorder="1" applyAlignment="1">
      <alignment horizontal="center"/>
    </xf>
    <xf numFmtId="0" fontId="25" fillId="2" borderId="16" xfId="0" applyFont="1" applyFill="1" applyBorder="1" applyAlignment="1">
      <alignment horizontal="center" wrapText="1"/>
    </xf>
    <xf numFmtId="0" fontId="25" fillId="2" borderId="15" xfId="0" applyFont="1" applyFill="1" applyBorder="1" applyAlignment="1">
      <alignment horizontal="center" wrapText="1"/>
    </xf>
    <xf numFmtId="0" fontId="25" fillId="2" borderId="14" xfId="0" applyFont="1" applyFill="1" applyBorder="1" applyAlignment="1">
      <alignment horizontal="center" wrapText="1"/>
    </xf>
    <xf numFmtId="0" fontId="25" fillId="2" borderId="13" xfId="0" applyFont="1" applyFill="1" applyBorder="1" applyAlignment="1">
      <alignment horizontal="center" wrapText="1"/>
    </xf>
    <xf numFmtId="0" fontId="25" fillId="2" borderId="12" xfId="0" applyFont="1" applyFill="1" applyBorder="1" applyAlignment="1">
      <alignment horizontal="center" wrapText="1"/>
    </xf>
    <xf numFmtId="0" fontId="25" fillId="2" borderId="11" xfId="0" applyFont="1" applyFill="1" applyBorder="1" applyAlignment="1">
      <alignment horizontal="center" wrapText="1"/>
    </xf>
    <xf numFmtId="173" fontId="7" fillId="2" borderId="2" xfId="0" applyNumberFormat="1" applyFont="1" applyFill="1" applyBorder="1" applyAlignment="1">
      <alignment horizontal="center" vertical="center"/>
    </xf>
    <xf numFmtId="173" fontId="7" fillId="2" borderId="6"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25" fillId="2" borderId="16"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36" fillId="13" borderId="1" xfId="0" applyFont="1" applyFill="1" applyBorder="1" applyAlignment="1">
      <alignment horizontal="center"/>
    </xf>
    <xf numFmtId="0" fontId="36" fillId="13" borderId="1" xfId="0" applyFont="1" applyFill="1" applyBorder="1" applyAlignment="1">
      <alignment horizontal="center" wrapText="1"/>
    </xf>
    <xf numFmtId="0" fontId="4" fillId="13" borderId="1" xfId="0" applyFont="1" applyFill="1" applyBorder="1" applyAlignment="1">
      <alignment horizontal="center" vertical="center" wrapText="1"/>
    </xf>
    <xf numFmtId="0" fontId="4" fillId="13" borderId="1" xfId="0" applyFont="1" applyFill="1" applyBorder="1" applyAlignment="1">
      <alignment horizontal="left" vertical="center" indent="1"/>
    </xf>
    <xf numFmtId="9" fontId="4" fillId="15" borderId="1" xfId="0" applyNumberFormat="1" applyFont="1" applyFill="1" applyBorder="1" applyAlignment="1">
      <alignment horizontal="center" vertical="center"/>
    </xf>
    <xf numFmtId="9" fontId="4" fillId="13" borderId="4" xfId="0" applyNumberFormat="1" applyFont="1" applyFill="1" applyBorder="1" applyAlignment="1">
      <alignment horizontal="center" vertical="center"/>
    </xf>
    <xf numFmtId="9" fontId="4" fillId="13" borderId="3" xfId="0" applyNumberFormat="1" applyFont="1" applyFill="1" applyBorder="1" applyAlignment="1">
      <alignment horizontal="center" vertical="center"/>
    </xf>
    <xf numFmtId="0" fontId="4" fillId="13" borderId="1" xfId="0" applyFont="1" applyFill="1" applyBorder="1" applyAlignment="1">
      <alignment horizontal="center" vertical="center"/>
    </xf>
    <xf numFmtId="0" fontId="4" fillId="12" borderId="1" xfId="0" applyFont="1" applyFill="1" applyBorder="1" applyAlignment="1">
      <alignment vertical="center" wrapText="1"/>
    </xf>
    <xf numFmtId="0" fontId="5" fillId="2" borderId="1" xfId="0" applyFont="1" applyFill="1" applyBorder="1" applyAlignment="1">
      <alignment horizontal="center" vertical="center"/>
    </xf>
    <xf numFmtId="173" fontId="5" fillId="2" borderId="1" xfId="0" applyNumberFormat="1" applyFont="1" applyFill="1" applyBorder="1" applyAlignment="1">
      <alignment horizontal="center" vertical="center"/>
    </xf>
    <xf numFmtId="0" fontId="61" fillId="2" borderId="2" xfId="0" applyFont="1" applyFill="1" applyBorder="1" applyAlignment="1">
      <alignment horizontal="left" wrapText="1"/>
    </xf>
    <xf numFmtId="0" fontId="61" fillId="2" borderId="1" xfId="0" applyFont="1" applyFill="1" applyBorder="1" applyAlignment="1">
      <alignment horizontal="left" wrapText="1"/>
    </xf>
    <xf numFmtId="0" fontId="61" fillId="2" borderId="3" xfId="0" applyFont="1" applyFill="1" applyBorder="1" applyAlignment="1">
      <alignment horizontal="center" vertical="center"/>
    </xf>
    <xf numFmtId="0" fontId="82" fillId="2" borderId="0" xfId="0" applyFont="1" applyFill="1" applyAlignment="1">
      <alignment vertical="top" wrapText="1"/>
    </xf>
    <xf numFmtId="0" fontId="4" fillId="0" borderId="0" xfId="0" applyFont="1" applyAlignment="1">
      <alignment vertical="top" wrapText="1"/>
    </xf>
    <xf numFmtId="0" fontId="4" fillId="0" borderId="0" xfId="0" applyFont="1" applyAlignment="1">
      <alignment vertical="top"/>
    </xf>
    <xf numFmtId="0" fontId="4" fillId="0" borderId="10" xfId="0" applyFont="1" applyBorder="1" applyAlignment="1">
      <alignment horizontal="center"/>
    </xf>
    <xf numFmtId="0" fontId="83" fillId="2" borderId="1" xfId="0" applyFont="1" applyFill="1" applyBorder="1" applyAlignment="1">
      <alignment horizontal="center" vertical="center" wrapText="1"/>
    </xf>
    <xf numFmtId="0" fontId="83" fillId="2" borderId="1" xfId="0" applyFont="1" applyFill="1" applyBorder="1" applyAlignment="1">
      <alignment wrapText="1"/>
    </xf>
    <xf numFmtId="0" fontId="39" fillId="0" borderId="0" xfId="0" applyFont="1" applyAlignment="1">
      <alignment wrapText="1"/>
    </xf>
    <xf numFmtId="0" fontId="20" fillId="2" borderId="1" xfId="0" applyFont="1" applyFill="1" applyBorder="1" applyAlignment="1">
      <alignment horizontal="center" wrapText="1"/>
    </xf>
    <xf numFmtId="0" fontId="76" fillId="2" borderId="2" xfId="0" applyFont="1" applyFill="1" applyBorder="1" applyAlignment="1">
      <alignment horizontal="center" wrapText="1"/>
    </xf>
    <xf numFmtId="0" fontId="76" fillId="2" borderId="6" xfId="0" applyFont="1" applyFill="1" applyBorder="1" applyAlignment="1">
      <alignment horizontal="center" wrapText="1"/>
    </xf>
    <xf numFmtId="0" fontId="76" fillId="2" borderId="1" xfId="0" applyFont="1" applyFill="1" applyBorder="1" applyAlignment="1">
      <alignment horizontal="center" vertical="center"/>
    </xf>
    <xf numFmtId="0" fontId="76" fillId="2" borderId="1" xfId="0" applyFont="1" applyFill="1" applyBorder="1" applyAlignment="1">
      <alignment horizontal="center" vertical="center" wrapText="1"/>
    </xf>
    <xf numFmtId="173" fontId="76" fillId="2" borderId="1" xfId="0" applyNumberFormat="1" applyFont="1" applyFill="1" applyBorder="1" applyAlignment="1">
      <alignment horizontal="center" vertical="center"/>
    </xf>
    <xf numFmtId="3" fontId="61" fillId="2" borderId="1" xfId="0" applyNumberFormat="1" applyFont="1" applyFill="1" applyBorder="1" applyAlignment="1">
      <alignment horizontal="center" vertical="center"/>
    </xf>
    <xf numFmtId="0" fontId="64" fillId="0" borderId="0" xfId="0" applyFont="1" applyAlignment="1">
      <alignment horizontal="center"/>
    </xf>
    <xf numFmtId="0" fontId="113" fillId="0" borderId="1" xfId="0" applyFont="1" applyBorder="1" applyAlignment="1">
      <alignment horizontal="center" vertical="center" wrapText="1"/>
    </xf>
    <xf numFmtId="0" fontId="61" fillId="2" borderId="1" xfId="0" applyFont="1" applyFill="1" applyBorder="1" applyAlignment="1">
      <alignment horizontal="center" wrapText="1"/>
    </xf>
    <xf numFmtId="0" fontId="17" fillId="0" borderId="12" xfId="0" applyFont="1" applyBorder="1" applyAlignment="1">
      <alignment horizontal="center" wrapText="1"/>
    </xf>
    <xf numFmtId="0" fontId="17" fillId="0" borderId="0" xfId="0" applyFont="1" applyAlignment="1">
      <alignment horizontal="center" vertical="center" wrapText="1"/>
    </xf>
    <xf numFmtId="0" fontId="20" fillId="2" borderId="1" xfId="0" applyFont="1" applyFill="1" applyBorder="1" applyAlignment="1">
      <alignment horizontal="center" vertical="center" wrapText="1"/>
    </xf>
    <xf numFmtId="2" fontId="20" fillId="2" borderId="1" xfId="0" applyNumberFormat="1" applyFont="1" applyFill="1" applyBorder="1" applyAlignment="1">
      <alignment horizontal="center" vertical="center" wrapText="1"/>
    </xf>
    <xf numFmtId="0" fontId="4" fillId="0" borderId="0" xfId="0" applyFont="1" applyAlignment="1">
      <alignment horizontal="center"/>
    </xf>
    <xf numFmtId="0" fontId="17" fillId="0" borderId="2" xfId="0" applyFont="1" applyBorder="1" applyAlignment="1">
      <alignment horizontal="center" vertical="center"/>
    </xf>
    <xf numFmtId="0" fontId="17" fillId="0" borderId="10" xfId="0" applyFont="1" applyBorder="1" applyAlignment="1">
      <alignment horizontal="center" vertical="center"/>
    </xf>
    <xf numFmtId="0" fontId="17" fillId="0" borderId="6" xfId="0" applyFont="1" applyBorder="1" applyAlignment="1">
      <alignment horizontal="center" vertical="center"/>
    </xf>
    <xf numFmtId="0" fontId="17" fillId="0" borderId="12" xfId="0" applyFont="1" applyBorder="1" applyAlignment="1">
      <alignment horizontal="center"/>
    </xf>
    <xf numFmtId="0" fontId="120" fillId="2" borderId="0" xfId="0" applyFont="1" applyFill="1" applyAlignment="1">
      <alignment vertical="center" wrapText="1"/>
    </xf>
    <xf numFmtId="0" fontId="20" fillId="2" borderId="0" xfId="0" applyFont="1" applyFill="1" applyAlignment="1">
      <alignment vertical="center" wrapText="1"/>
    </xf>
    <xf numFmtId="0" fontId="61" fillId="2" borderId="2" xfId="0" applyFont="1" applyFill="1" applyBorder="1" applyAlignment="1">
      <alignment horizontal="center" wrapText="1"/>
    </xf>
    <xf numFmtId="0" fontId="61" fillId="2" borderId="6" xfId="0" applyFont="1" applyFill="1" applyBorder="1" applyAlignment="1">
      <alignment horizontal="center" wrapText="1"/>
    </xf>
    <xf numFmtId="9" fontId="20" fillId="2" borderId="1" xfId="0" applyNumberFormat="1" applyFont="1" applyFill="1" applyBorder="1" applyAlignment="1">
      <alignment horizontal="center" vertical="center" wrapText="1"/>
    </xf>
    <xf numFmtId="0" fontId="20" fillId="2" borderId="3" xfId="0" applyFont="1" applyFill="1" applyBorder="1" applyAlignment="1">
      <alignment horizontal="center" vertical="center" wrapText="1"/>
    </xf>
    <xf numFmtId="0" fontId="146" fillId="2" borderId="1" xfId="0" applyFont="1" applyFill="1" applyBorder="1" applyAlignment="1">
      <alignment vertical="center" wrapText="1"/>
    </xf>
    <xf numFmtId="0" fontId="146" fillId="2" borderId="1" xfId="0" applyFont="1" applyFill="1" applyBorder="1" applyAlignment="1">
      <alignment horizontal="center" vertical="center" wrapText="1"/>
    </xf>
    <xf numFmtId="0" fontId="25" fillId="2" borderId="0" xfId="0" applyFont="1" applyFill="1" applyAlignment="1">
      <alignment wrapText="1"/>
    </xf>
    <xf numFmtId="0" fontId="145" fillId="2" borderId="1" xfId="0" applyFont="1" applyFill="1" applyBorder="1" applyAlignment="1">
      <alignment vertical="center" wrapText="1"/>
    </xf>
    <xf numFmtId="0" fontId="5" fillId="2" borderId="1" xfId="0" applyFont="1" applyFill="1" applyBorder="1" applyAlignment="1">
      <alignment horizontal="center" vertical="center" wrapText="1"/>
    </xf>
    <xf numFmtId="9" fontId="5" fillId="2" borderId="1" xfId="0" applyNumberFormat="1" applyFont="1" applyFill="1" applyBorder="1" applyAlignment="1">
      <alignment horizontal="center" wrapText="1"/>
    </xf>
    <xf numFmtId="3" fontId="5" fillId="2"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25" fillId="2" borderId="1" xfId="0" applyFont="1" applyFill="1" applyBorder="1" applyAlignment="1">
      <alignment horizontal="center" wrapText="1"/>
    </xf>
    <xf numFmtId="0" fontId="5" fillId="2" borderId="0" xfId="0" applyFont="1" applyFill="1" applyAlignment="1">
      <alignment vertical="top"/>
    </xf>
    <xf numFmtId="0" fontId="5" fillId="2" borderId="1" xfId="0" applyFont="1" applyFill="1" applyBorder="1" applyAlignment="1">
      <alignment horizontal="left" vertical="center" wrapText="1" indent="4"/>
    </xf>
    <xf numFmtId="0" fontId="0" fillId="0" borderId="0" xfId="0" applyAlignment="1">
      <alignment vertical="top" wrapText="1"/>
    </xf>
    <xf numFmtId="0" fontId="5" fillId="2" borderId="1" xfId="0" applyFont="1" applyFill="1" applyBorder="1" applyAlignment="1">
      <alignment vertical="center"/>
    </xf>
    <xf numFmtId="0" fontId="5" fillId="2" borderId="0" xfId="0" applyFont="1" applyFill="1" applyAlignment="1">
      <alignment horizontal="left" vertical="top" wrapText="1"/>
    </xf>
    <xf numFmtId="0" fontId="30" fillId="2" borderId="1" xfId="0" applyFont="1" applyFill="1" applyBorder="1" applyAlignment="1">
      <alignment vertical="center" wrapText="1"/>
    </xf>
    <xf numFmtId="0" fontId="4" fillId="0" borderId="1" xfId="0" applyFont="1" applyBorder="1" applyAlignment="1">
      <alignment horizontal="center" wrapText="1"/>
    </xf>
    <xf numFmtId="0" fontId="153" fillId="2" borderId="1" xfId="0" applyFont="1" applyFill="1" applyBorder="1" applyAlignment="1">
      <alignment horizontal="center" vertical="center" wrapText="1"/>
    </xf>
    <xf numFmtId="0" fontId="93" fillId="2" borderId="2" xfId="0" applyFont="1" applyFill="1" applyBorder="1" applyAlignment="1">
      <alignment horizontal="center"/>
    </xf>
    <xf numFmtId="0" fontId="93" fillId="2" borderId="10" xfId="0" applyFont="1" applyFill="1" applyBorder="1" applyAlignment="1">
      <alignment horizontal="center"/>
    </xf>
    <xf numFmtId="0" fontId="93" fillId="2" borderId="6" xfId="0" applyFont="1" applyFill="1" applyBorder="1" applyAlignment="1">
      <alignment horizontal="center"/>
    </xf>
    <xf numFmtId="10" fontId="93" fillId="2" borderId="2" xfId="0" applyNumberFormat="1" applyFont="1" applyFill="1" applyBorder="1" applyAlignment="1">
      <alignment horizontal="center"/>
    </xf>
    <xf numFmtId="173" fontId="93" fillId="2" borderId="2" xfId="0" applyNumberFormat="1" applyFont="1" applyFill="1" applyBorder="1" applyAlignment="1">
      <alignment horizontal="center"/>
    </xf>
    <xf numFmtId="173" fontId="93" fillId="2" borderId="10" xfId="0" applyNumberFormat="1" applyFont="1" applyFill="1" applyBorder="1" applyAlignment="1">
      <alignment horizontal="center"/>
    </xf>
    <xf numFmtId="173" fontId="93" fillId="2" borderId="6" xfId="0" applyNumberFormat="1" applyFont="1" applyFill="1" applyBorder="1" applyAlignment="1">
      <alignment horizontal="center"/>
    </xf>
    <xf numFmtId="0" fontId="9" fillId="2" borderId="0" xfId="0" applyFont="1" applyFill="1" applyAlignment="1">
      <alignment vertical="top" wrapText="1"/>
    </xf>
    <xf numFmtId="0" fontId="101" fillId="2" borderId="1" xfId="0" applyFont="1" applyFill="1" applyBorder="1" applyAlignment="1">
      <alignment horizontal="center" wrapText="1"/>
    </xf>
    <xf numFmtId="0" fontId="85" fillId="2" borderId="1" xfId="0" applyFont="1" applyFill="1" applyBorder="1" applyAlignment="1">
      <alignment horizontal="center" wrapText="1"/>
    </xf>
    <xf numFmtId="10" fontId="93" fillId="2" borderId="10" xfId="0" applyNumberFormat="1" applyFont="1" applyFill="1" applyBorder="1" applyAlignment="1">
      <alignment horizontal="center"/>
    </xf>
    <xf numFmtId="10" fontId="93" fillId="2" borderId="6" xfId="0" applyNumberFormat="1" applyFont="1" applyFill="1" applyBorder="1" applyAlignment="1">
      <alignment horizontal="center"/>
    </xf>
    <xf numFmtId="0" fontId="93" fillId="2" borderId="0" xfId="0" applyFont="1" applyFill="1" applyAlignment="1">
      <alignment vertical="top" wrapText="1"/>
    </xf>
    <xf numFmtId="0" fontId="156" fillId="0" borderId="0" xfId="0" applyFont="1" applyAlignment="1">
      <alignment horizontal="left" vertical="top" wrapText="1"/>
    </xf>
    <xf numFmtId="0" fontId="20" fillId="2" borderId="2" xfId="0" applyFont="1" applyFill="1" applyBorder="1"/>
    <xf numFmtId="0" fontId="20" fillId="2" borderId="10" xfId="0" applyFont="1" applyFill="1" applyBorder="1"/>
    <xf numFmtId="0" fontId="20" fillId="2" borderId="6" xfId="0" applyFont="1" applyFill="1" applyBorder="1"/>
    <xf numFmtId="0" fontId="20" fillId="2" borderId="1" xfId="0" applyFont="1" applyFill="1" applyBorder="1" applyAlignment="1">
      <alignment horizontal="center"/>
    </xf>
    <xf numFmtId="0" fontId="20" fillId="2" borderId="1" xfId="0" applyFont="1" applyFill="1" applyBorder="1"/>
    <xf numFmtId="0" fontId="20" fillId="2" borderId="1" xfId="0" applyFont="1" applyFill="1" applyBorder="1" applyAlignment="1">
      <alignment horizontal="right" indent="5"/>
    </xf>
    <xf numFmtId="0" fontId="20" fillId="2" borderId="4" xfId="0" applyFont="1" applyFill="1" applyBorder="1" applyAlignment="1">
      <alignment horizontal="center" vertical="center" wrapText="1"/>
    </xf>
    <xf numFmtId="0" fontId="20" fillId="2" borderId="3" xfId="0" applyFont="1" applyFill="1" applyBorder="1" applyAlignment="1">
      <alignment horizontal="center" vertical="center"/>
    </xf>
    <xf numFmtId="3" fontId="5" fillId="2" borderId="1" xfId="1" applyNumberFormat="1" applyFont="1" applyFill="1" applyBorder="1" applyAlignment="1">
      <alignment horizontal="center"/>
    </xf>
    <xf numFmtId="3" fontId="0" fillId="0" borderId="1" xfId="0" applyNumberFormat="1" applyBorder="1"/>
    <xf numFmtId="2" fontId="5" fillId="2" borderId="1" xfId="1" applyNumberFormat="1" applyFont="1" applyFill="1" applyBorder="1" applyAlignment="1">
      <alignment horizontal="center"/>
    </xf>
    <xf numFmtId="0" fontId="0" fillId="0" borderId="1" xfId="0" applyBorder="1"/>
    <xf numFmtId="2" fontId="25" fillId="2" borderId="1" xfId="1" applyNumberFormat="1" applyFont="1" applyFill="1" applyBorder="1" applyAlignment="1">
      <alignment horizontal="center" wrapText="1"/>
    </xf>
    <xf numFmtId="0" fontId="3" fillId="0" borderId="1" xfId="0" applyFont="1" applyBorder="1" applyAlignment="1">
      <alignment wrapText="1"/>
    </xf>
    <xf numFmtId="0" fontId="0" fillId="0" borderId="0" xfId="0"/>
    <xf numFmtId="3" fontId="17" fillId="0" borderId="1" xfId="0" applyNumberFormat="1" applyFont="1" applyBorder="1" applyAlignment="1">
      <alignment horizontal="center" vertical="center" wrapText="1"/>
    </xf>
    <xf numFmtId="10" fontId="17" fillId="0" borderId="1" xfId="0" applyNumberFormat="1" applyFont="1" applyBorder="1" applyAlignment="1">
      <alignment horizontal="center" vertical="center" wrapText="1"/>
    </xf>
    <xf numFmtId="9" fontId="17" fillId="0" borderId="1" xfId="0" applyNumberFormat="1" applyFont="1" applyBorder="1" applyAlignment="1">
      <alignment horizontal="center" vertical="center" wrapText="1"/>
    </xf>
    <xf numFmtId="9" fontId="5" fillId="2" borderId="1" xfId="0" applyNumberFormat="1" applyFon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right" vertical="center" wrapText="1" indent="4"/>
    </xf>
    <xf numFmtId="10" fontId="5" fillId="2" borderId="1" xfId="0" applyNumberFormat="1" applyFont="1" applyFill="1" applyBorder="1" applyAlignment="1">
      <alignment horizontal="right" vertical="center" wrapText="1" indent="4"/>
    </xf>
    <xf numFmtId="0" fontId="5" fillId="2" borderId="1" xfId="0" applyFont="1" applyFill="1" applyBorder="1" applyAlignment="1">
      <alignment horizontal="right" vertical="center" wrapText="1" indent="4"/>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169" fontId="5" fillId="2" borderId="2" xfId="0" applyNumberFormat="1" applyFont="1" applyFill="1" applyBorder="1" applyAlignment="1">
      <alignment horizontal="center" vertical="center"/>
    </xf>
    <xf numFmtId="169" fontId="5" fillId="2" borderId="6"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3" fontId="5" fillId="2" borderId="1" xfId="0" applyNumberFormat="1" applyFont="1" applyFill="1" applyBorder="1" applyAlignment="1">
      <alignment horizontal="right" vertical="center" indent="9"/>
    </xf>
    <xf numFmtId="0" fontId="5" fillId="2" borderId="2" xfId="0" applyFont="1" applyFill="1" applyBorder="1" applyAlignment="1">
      <alignment horizontal="center" wrapText="1"/>
    </xf>
    <xf numFmtId="0" fontId="5" fillId="2" borderId="10" xfId="0" applyFont="1" applyFill="1" applyBorder="1" applyAlignment="1">
      <alignment horizontal="center" wrapText="1"/>
    </xf>
    <xf numFmtId="0" fontId="5" fillId="2" borderId="6" xfId="0" applyFont="1" applyFill="1" applyBorder="1" applyAlignment="1">
      <alignment horizontal="center" wrapText="1"/>
    </xf>
    <xf numFmtId="0" fontId="52" fillId="0" borderId="0" xfId="0" applyFont="1" applyAlignment="1">
      <alignment wrapText="1"/>
    </xf>
    <xf numFmtId="0" fontId="29" fillId="0" borderId="0" xfId="0" applyFont="1" applyAlignment="1">
      <alignment wrapText="1"/>
    </xf>
    <xf numFmtId="0" fontId="62" fillId="0" borderId="1" xfId="0" applyFont="1" applyBorder="1" applyAlignment="1">
      <alignment horizontal="center" wrapText="1"/>
    </xf>
    <xf numFmtId="0" fontId="141" fillId="0" borderId="1" xfId="0" applyFont="1" applyBorder="1" applyAlignment="1">
      <alignment vertical="top" wrapText="1"/>
    </xf>
    <xf numFmtId="3" fontId="5" fillId="2" borderId="1" xfId="0" applyNumberFormat="1" applyFont="1" applyFill="1" applyBorder="1" applyAlignment="1">
      <alignment horizontal="right" vertical="center" indent="6"/>
    </xf>
    <xf numFmtId="0" fontId="5" fillId="2" borderId="4" xfId="0" applyFont="1" applyFill="1" applyBorder="1" applyAlignment="1">
      <alignment vertical="center"/>
    </xf>
    <xf numFmtId="0" fontId="5" fillId="2" borderId="3" xfId="0" applyFont="1" applyFill="1" applyBorder="1" applyAlignment="1">
      <alignment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6" xfId="0" applyFont="1" applyFill="1" applyBorder="1" applyAlignment="1">
      <alignment vertical="center" wrapText="1"/>
    </xf>
    <xf numFmtId="0" fontId="5" fillId="2" borderId="14" xfId="0" applyFont="1" applyFill="1" applyBorder="1" applyAlignment="1">
      <alignment vertical="center" wrapText="1"/>
    </xf>
    <xf numFmtId="0" fontId="5" fillId="2" borderId="13" xfId="0" applyFont="1" applyFill="1" applyBorder="1" applyAlignment="1">
      <alignment vertical="center" wrapText="1"/>
    </xf>
    <xf numFmtId="0" fontId="5" fillId="2" borderId="11" xfId="0" applyFont="1" applyFill="1" applyBorder="1" applyAlignment="1">
      <alignment vertical="center" wrapText="1"/>
    </xf>
    <xf numFmtId="0" fontId="5" fillId="2" borderId="10" xfId="0" applyFont="1" applyFill="1" applyBorder="1" applyAlignment="1">
      <alignment horizontal="center" vertical="center"/>
    </xf>
    <xf numFmtId="0" fontId="20" fillId="2" borderId="0" xfId="0" applyFont="1" applyFill="1" applyAlignment="1">
      <alignment horizontal="left" vertical="center" indent="1"/>
    </xf>
    <xf numFmtId="0" fontId="120" fillId="2" borderId="0" xfId="0" applyFont="1" applyFill="1" applyAlignment="1">
      <alignment horizontal="left" vertical="center" indent="1"/>
    </xf>
    <xf numFmtId="0" fontId="145" fillId="2" borderId="0" xfId="0" applyFont="1" applyFill="1" applyAlignment="1">
      <alignment horizontal="left" vertical="top" wrapText="1"/>
    </xf>
    <xf numFmtId="0" fontId="20" fillId="2" borderId="2" xfId="0" applyFont="1" applyFill="1" applyBorder="1" applyAlignment="1">
      <alignment horizontal="left" vertical="center"/>
    </xf>
    <xf numFmtId="0" fontId="20" fillId="2" borderId="6" xfId="0" applyFont="1" applyFill="1" applyBorder="1" applyAlignment="1">
      <alignment horizontal="left" vertical="center"/>
    </xf>
    <xf numFmtId="0" fontId="61" fillId="2" borderId="1" xfId="0" applyFont="1" applyFill="1" applyBorder="1" applyAlignment="1">
      <alignment wrapText="1"/>
    </xf>
    <xf numFmtId="0" fontId="20" fillId="2" borderId="1" xfId="0" applyFont="1"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19" borderId="1" xfId="0" applyFill="1" applyBorder="1" applyAlignment="1">
      <alignment horizontal="left"/>
    </xf>
    <xf numFmtId="0" fontId="0" fillId="0" borderId="4"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4" xfId="0" applyBorder="1" applyAlignment="1">
      <alignment horizontal="center" wrapText="1"/>
    </xf>
    <xf numFmtId="0" fontId="25" fillId="2" borderId="2" xfId="0" applyFont="1" applyFill="1" applyBorder="1" applyAlignment="1">
      <alignment horizontal="left" vertical="center"/>
    </xf>
    <xf numFmtId="0" fontId="25" fillId="2" borderId="6" xfId="0" applyFont="1" applyFill="1" applyBorder="1" applyAlignment="1">
      <alignment horizontal="left" vertical="center"/>
    </xf>
    <xf numFmtId="0" fontId="145" fillId="2" borderId="0" xfId="0" applyFont="1" applyFill="1" applyAlignment="1">
      <alignment horizontal="left" vertical="center" wrapText="1"/>
    </xf>
    <xf numFmtId="0" fontId="85" fillId="2" borderId="3" xfId="0" applyFont="1" applyFill="1" applyBorder="1" applyAlignment="1">
      <alignment horizontal="center" vertical="center" wrapText="1"/>
    </xf>
    <xf numFmtId="0" fontId="85" fillId="2" borderId="1" xfId="0" applyFont="1" applyFill="1" applyBorder="1" applyAlignment="1">
      <alignment horizontal="center" vertical="center" wrapText="1"/>
    </xf>
  </cellXfs>
  <cellStyles count="6">
    <cellStyle name="Comma" xfId="1" builtinId="3"/>
    <cellStyle name="Comma 2" xfId="3" xr:uid="{08C13D70-44A4-4E3C-94A4-515CDC9352B6}"/>
    <cellStyle name="Hyperlink" xfId="5" builtinId="8"/>
    <cellStyle name="Normal" xfId="0" builtinId="0"/>
    <cellStyle name="Normal 7" xfId="4" xr:uid="{54687E49-0E37-41B9-B708-6E6F527B133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microsoft.com/office/2017/10/relationships/person" Target="persons/person.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4.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108" Type="http://schemas.openxmlformats.org/officeDocument/2006/relationships/calcChain" Target="calcChain.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eetMetadata" Target="metadata.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1.xml"/><Relationship Id="rId10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ustomXml" Target="../customXml/item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2.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F20ADVQ3!$K$8</c:f>
              <c:strCache>
                <c:ptCount val="1"/>
                <c:pt idx="0">
                  <c:v>Normalized residual</c:v>
                </c:pt>
              </c:strCache>
            </c:strRef>
          </c:tx>
          <c:spPr>
            <a:ln w="19050" cap="rnd">
              <a:noFill/>
              <a:round/>
            </a:ln>
            <a:effectLst/>
          </c:spPr>
          <c:marker>
            <c:symbol val="circle"/>
            <c:size val="5"/>
            <c:spPr>
              <a:solidFill>
                <a:schemeClr val="accent1"/>
              </a:solidFill>
              <a:ln w="9525">
                <a:solidFill>
                  <a:schemeClr val="accent1"/>
                </a:solidFill>
              </a:ln>
              <a:effectLst/>
            </c:spPr>
          </c:marker>
          <c:xVal>
            <c:numRef>
              <c:f>F20ADVQ3!$H$9:$H$18</c:f>
              <c:numCache>
                <c:formatCode>General</c:formatCode>
                <c:ptCount val="10"/>
                <c:pt idx="0">
                  <c:v>2998.140930281641</c:v>
                </c:pt>
                <c:pt idx="1">
                  <c:v>1639.6388306211652</c:v>
                </c:pt>
                <c:pt idx="2">
                  <c:v>569.95863159629573</c:v>
                </c:pt>
                <c:pt idx="3">
                  <c:v>289.6301658775817</c:v>
                </c:pt>
                <c:pt idx="4">
                  <c:v>3597.7691163379691</c:v>
                </c:pt>
                <c:pt idx="5">
                  <c:v>1967.5665967453981</c:v>
                </c:pt>
                <c:pt idx="6">
                  <c:v>683.95035791555495</c:v>
                </c:pt>
                <c:pt idx="7">
                  <c:v>4497.2113954224624</c:v>
                </c:pt>
                <c:pt idx="8">
                  <c:v>2459.458245931748</c:v>
                </c:pt>
                <c:pt idx="9">
                  <c:v>5396.6536745069543</c:v>
                </c:pt>
              </c:numCache>
            </c:numRef>
          </c:xVal>
          <c:yVal>
            <c:numRef>
              <c:f>F20ADVQ3!$K$9:$K$18</c:f>
              <c:numCache>
                <c:formatCode>General</c:formatCode>
                <c:ptCount val="10"/>
                <c:pt idx="0">
                  <c:v>-1.3779788184736008</c:v>
                </c:pt>
                <c:pt idx="1">
                  <c:v>0.59984832874908711</c:v>
                </c:pt>
                <c:pt idx="2">
                  <c:v>-0.44384974486215417</c:v>
                </c:pt>
                <c:pt idx="3">
                  <c:v>-0.79771661880091582</c:v>
                </c:pt>
                <c:pt idx="4">
                  <c:v>1.2682448476817034</c:v>
                </c:pt>
                <c:pt idx="5">
                  <c:v>0.11075010265749811</c:v>
                </c:pt>
                <c:pt idx="6">
                  <c:v>1.2512889135349312</c:v>
                </c:pt>
                <c:pt idx="7">
                  <c:v>0.23216120816300093</c:v>
                </c:pt>
                <c:pt idx="8">
                  <c:v>-0.79243579880083492</c:v>
                </c:pt>
                <c:pt idx="9">
                  <c:v>-0.19928399977815087</c:v>
                </c:pt>
              </c:numCache>
            </c:numRef>
          </c:yVal>
          <c:smooth val="0"/>
          <c:extLst>
            <c:ext xmlns:c16="http://schemas.microsoft.com/office/drawing/2014/chart" uri="{C3380CC4-5D6E-409C-BE32-E72D297353CC}">
              <c16:uniqueId val="{00000000-D626-47A5-8F3A-DA54C5769FE7}"/>
            </c:ext>
          </c:extLst>
        </c:ser>
        <c:dLbls>
          <c:showLegendKey val="0"/>
          <c:showVal val="0"/>
          <c:showCatName val="0"/>
          <c:showSerName val="0"/>
          <c:showPercent val="0"/>
          <c:showBubbleSize val="0"/>
        </c:dLbls>
        <c:axId val="591795720"/>
        <c:axId val="591798016"/>
      </c:scatterChart>
      <c:valAx>
        <c:axId val="591795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1798016"/>
        <c:crosses val="autoZero"/>
        <c:crossBetween val="midCat"/>
      </c:valAx>
      <c:valAx>
        <c:axId val="591798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179572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4296737901289484E-2"/>
          <c:y val="0.16634383840623956"/>
          <c:w val="0.86837550095488469"/>
          <c:h val="0.68173065140445299"/>
        </c:manualLayout>
      </c:layout>
      <c:scatterChart>
        <c:scatterStyle val="lineMarker"/>
        <c:varyColors val="0"/>
        <c:ser>
          <c:idx val="0"/>
          <c:order val="0"/>
          <c:tx>
            <c:strRef>
              <c:f>F24ADVQ3!$AD$3</c:f>
              <c:strCache>
                <c:ptCount val="1"/>
                <c:pt idx="0">
                  <c:v>Normalized residuals</c:v>
                </c:pt>
              </c:strCache>
            </c:strRef>
          </c:tx>
          <c:spPr>
            <a:ln w="25400" cap="rnd">
              <a:noFill/>
              <a:round/>
            </a:ln>
            <a:effectLst/>
          </c:spPr>
          <c:marker>
            <c:symbol val="circle"/>
            <c:size val="5"/>
            <c:spPr>
              <a:solidFill>
                <a:schemeClr val="accent1"/>
              </a:solidFill>
              <a:ln w="9525">
                <a:solidFill>
                  <a:schemeClr val="accent1"/>
                </a:solidFill>
              </a:ln>
              <a:effectLst/>
            </c:spPr>
          </c:marker>
          <c:xVal>
            <c:numRef>
              <c:f>F24ADVQ3!$AC$4:$AC$39</c:f>
              <c:numCache>
                <c:formatCode>General</c:formatCode>
                <c:ptCount val="36"/>
                <c:pt idx="0">
                  <c:v>12</c:v>
                </c:pt>
                <c:pt idx="1">
                  <c:v>24</c:v>
                </c:pt>
                <c:pt idx="2">
                  <c:v>36</c:v>
                </c:pt>
                <c:pt idx="3">
                  <c:v>48</c:v>
                </c:pt>
                <c:pt idx="4">
                  <c:v>60</c:v>
                </c:pt>
                <c:pt idx="5">
                  <c:v>72</c:v>
                </c:pt>
                <c:pt idx="6">
                  <c:v>84</c:v>
                </c:pt>
                <c:pt idx="7">
                  <c:v>96</c:v>
                </c:pt>
                <c:pt idx="8">
                  <c:v>12</c:v>
                </c:pt>
                <c:pt idx="9">
                  <c:v>24</c:v>
                </c:pt>
                <c:pt idx="10">
                  <c:v>36</c:v>
                </c:pt>
                <c:pt idx="11">
                  <c:v>48</c:v>
                </c:pt>
                <c:pt idx="12">
                  <c:v>60</c:v>
                </c:pt>
                <c:pt idx="13">
                  <c:v>72</c:v>
                </c:pt>
                <c:pt idx="14">
                  <c:v>84</c:v>
                </c:pt>
                <c:pt idx="15">
                  <c:v>12</c:v>
                </c:pt>
                <c:pt idx="16">
                  <c:v>24</c:v>
                </c:pt>
                <c:pt idx="17">
                  <c:v>36</c:v>
                </c:pt>
                <c:pt idx="18">
                  <c:v>48</c:v>
                </c:pt>
                <c:pt idx="19">
                  <c:v>60</c:v>
                </c:pt>
                <c:pt idx="20">
                  <c:v>72</c:v>
                </c:pt>
                <c:pt idx="21">
                  <c:v>12</c:v>
                </c:pt>
                <c:pt idx="22">
                  <c:v>24</c:v>
                </c:pt>
                <c:pt idx="23">
                  <c:v>36</c:v>
                </c:pt>
                <c:pt idx="24">
                  <c:v>48</c:v>
                </c:pt>
                <c:pt idx="25">
                  <c:v>60</c:v>
                </c:pt>
                <c:pt idx="26">
                  <c:v>12</c:v>
                </c:pt>
                <c:pt idx="27">
                  <c:v>24</c:v>
                </c:pt>
                <c:pt idx="28">
                  <c:v>36</c:v>
                </c:pt>
                <c:pt idx="29">
                  <c:v>48</c:v>
                </c:pt>
                <c:pt idx="30">
                  <c:v>12</c:v>
                </c:pt>
                <c:pt idx="31">
                  <c:v>24</c:v>
                </c:pt>
                <c:pt idx="32">
                  <c:v>36</c:v>
                </c:pt>
                <c:pt idx="33">
                  <c:v>12</c:v>
                </c:pt>
                <c:pt idx="34">
                  <c:v>24</c:v>
                </c:pt>
                <c:pt idx="35">
                  <c:v>12</c:v>
                </c:pt>
              </c:numCache>
            </c:numRef>
          </c:xVal>
          <c:yVal>
            <c:numRef>
              <c:f>F24ADVQ3!$AD$4:$AD$39</c:f>
              <c:numCache>
                <c:formatCode>0.0000</c:formatCode>
                <c:ptCount val="36"/>
                <c:pt idx="0">
                  <c:v>9.6508014345251074E-3</c:v>
                </c:pt>
                <c:pt idx="1">
                  <c:v>0.29507091307735639</c:v>
                </c:pt>
                <c:pt idx="2">
                  <c:v>-1.2303328622471048</c:v>
                </c:pt>
                <c:pt idx="3">
                  <c:v>0.45936390657449205</c:v>
                </c:pt>
                <c:pt idx="4">
                  <c:v>-0.60622746913267123</c:v>
                </c:pt>
                <c:pt idx="5">
                  <c:v>2.2718242200195906</c:v>
                </c:pt>
                <c:pt idx="6">
                  <c:v>2.0993842895599468</c:v>
                </c:pt>
                <c:pt idx="7">
                  <c:v>-0.20522345977550371</c:v>
                </c:pt>
                <c:pt idx="8">
                  <c:v>0.46586340009323873</c:v>
                </c:pt>
                <c:pt idx="9">
                  <c:v>-0.21067014059473158</c:v>
                </c:pt>
                <c:pt idx="10">
                  <c:v>-0.93623015822371047</c:v>
                </c:pt>
                <c:pt idx="11">
                  <c:v>0.45936390657449205</c:v>
                </c:pt>
                <c:pt idx="12">
                  <c:v>0.43317347982352394</c:v>
                </c:pt>
                <c:pt idx="13">
                  <c:v>1.0034740309566037</c:v>
                </c:pt>
                <c:pt idx="14">
                  <c:v>-1.7212332241654646</c:v>
                </c:pt>
                <c:pt idx="15">
                  <c:v>-1.0273753793765932</c:v>
                </c:pt>
                <c:pt idx="16">
                  <c:v>0.6261352196334421</c:v>
                </c:pt>
                <c:pt idx="17">
                  <c:v>-0.85804838334348899</c:v>
                </c:pt>
                <c:pt idx="18">
                  <c:v>-0.53660658561639574</c:v>
                </c:pt>
                <c:pt idx="19">
                  <c:v>0.65658146856422772</c:v>
                </c:pt>
                <c:pt idx="20">
                  <c:v>-1.5419610311061442</c:v>
                </c:pt>
                <c:pt idx="21">
                  <c:v>0.14464914661332012</c:v>
                </c:pt>
                <c:pt idx="22">
                  <c:v>0.8195882808344721</c:v>
                </c:pt>
                <c:pt idx="23">
                  <c:v>0.46271207421468563</c:v>
                </c:pt>
                <c:pt idx="24">
                  <c:v>-0.28317875161447542</c:v>
                </c:pt>
                <c:pt idx="25">
                  <c:v>-0.11219149977442992</c:v>
                </c:pt>
                <c:pt idx="26">
                  <c:v>0.26582051972065346</c:v>
                </c:pt>
                <c:pt idx="27">
                  <c:v>0.95187856617468702</c:v>
                </c:pt>
                <c:pt idx="28">
                  <c:v>0.92616377750163204</c:v>
                </c:pt>
                <c:pt idx="29">
                  <c:v>-1.1367738511460701</c:v>
                </c:pt>
                <c:pt idx="30">
                  <c:v>-0.59658876249222159</c:v>
                </c:pt>
                <c:pt idx="31">
                  <c:v>1.2894644209075203</c:v>
                </c:pt>
                <c:pt idx="32">
                  <c:v>-0.40809519325961147</c:v>
                </c:pt>
                <c:pt idx="33">
                  <c:v>-1.8470028377411019</c:v>
                </c:pt>
                <c:pt idx="34">
                  <c:v>-0.68057404502288699</c:v>
                </c:pt>
                <c:pt idx="35">
                  <c:v>0.48695523496268867</c:v>
                </c:pt>
              </c:numCache>
            </c:numRef>
          </c:yVal>
          <c:smooth val="0"/>
          <c:extLst>
            <c:ext xmlns:c16="http://schemas.microsoft.com/office/drawing/2014/chart" uri="{C3380CC4-5D6E-409C-BE32-E72D297353CC}">
              <c16:uniqueId val="{00000000-5A28-4ECD-88C4-83C3585ADAE9}"/>
            </c:ext>
          </c:extLst>
        </c:ser>
        <c:dLbls>
          <c:showLegendKey val="0"/>
          <c:showVal val="0"/>
          <c:showCatName val="0"/>
          <c:showSerName val="0"/>
          <c:showPercent val="0"/>
          <c:showBubbleSize val="0"/>
        </c:dLbls>
        <c:axId val="604553375"/>
        <c:axId val="604526975"/>
      </c:scatterChart>
      <c:valAx>
        <c:axId val="6045533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526975"/>
        <c:crosses val="autoZero"/>
        <c:crossBetween val="midCat"/>
      </c:valAx>
      <c:valAx>
        <c:axId val="604526975"/>
        <c:scaling>
          <c:orientation val="minMax"/>
          <c:max val="2.5"/>
          <c:min val="-2.5"/>
        </c:scaling>
        <c:delete val="0"/>
        <c:axPos val="l"/>
        <c:majorGridlines>
          <c:spPr>
            <a:ln w="9525" cap="flat" cmpd="sng" algn="ctr">
              <a:solidFill>
                <a:schemeClr val="tx1">
                  <a:lumMod val="15000"/>
                  <a:lumOff val="85000"/>
                </a:schemeClr>
              </a:solidFill>
              <a:round/>
            </a:ln>
            <a:effectLst/>
          </c:spPr>
        </c:majorGridlines>
        <c:numFmt formatCode="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55337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19050">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4296737901289484E-2"/>
          <c:y val="0.16634383840623956"/>
          <c:w val="0.86837550095488469"/>
          <c:h val="0.68173065140445299"/>
        </c:manualLayout>
      </c:layout>
      <c:scatterChart>
        <c:scatterStyle val="lineMarker"/>
        <c:varyColors val="0"/>
        <c:ser>
          <c:idx val="0"/>
          <c:order val="0"/>
          <c:tx>
            <c:strRef>
              <c:f>F24ADVQ3!$AL$3</c:f>
              <c:strCache>
                <c:ptCount val="1"/>
                <c:pt idx="0">
                  <c:v>Normalized residuals</c:v>
                </c:pt>
              </c:strCache>
            </c:strRef>
          </c:tx>
          <c:spPr>
            <a:ln w="25400" cap="rnd">
              <a:noFill/>
              <a:round/>
            </a:ln>
            <a:effectLst/>
          </c:spPr>
          <c:marker>
            <c:symbol val="circle"/>
            <c:size val="5"/>
            <c:spPr>
              <a:solidFill>
                <a:schemeClr val="accent1"/>
              </a:solidFill>
              <a:ln w="9525">
                <a:solidFill>
                  <a:schemeClr val="accent1"/>
                </a:solidFill>
              </a:ln>
              <a:effectLst/>
            </c:spPr>
          </c:marker>
          <c:xVal>
            <c:numRef>
              <c:f>F24ADVQ3!$AK$4:$AK$39</c:f>
              <c:numCache>
                <c:formatCode>General</c:formatCode>
                <c:ptCount val="36"/>
                <c:pt idx="0">
                  <c:v>12</c:v>
                </c:pt>
                <c:pt idx="1">
                  <c:v>24</c:v>
                </c:pt>
                <c:pt idx="2">
                  <c:v>36</c:v>
                </c:pt>
                <c:pt idx="3">
                  <c:v>48</c:v>
                </c:pt>
                <c:pt idx="4">
                  <c:v>60</c:v>
                </c:pt>
                <c:pt idx="5">
                  <c:v>72</c:v>
                </c:pt>
                <c:pt idx="6">
                  <c:v>84</c:v>
                </c:pt>
                <c:pt idx="7">
                  <c:v>96</c:v>
                </c:pt>
                <c:pt idx="8">
                  <c:v>12</c:v>
                </c:pt>
                <c:pt idx="9">
                  <c:v>24</c:v>
                </c:pt>
                <c:pt idx="10">
                  <c:v>36</c:v>
                </c:pt>
                <c:pt idx="11">
                  <c:v>48</c:v>
                </c:pt>
                <c:pt idx="12">
                  <c:v>60</c:v>
                </c:pt>
                <c:pt idx="13">
                  <c:v>72</c:v>
                </c:pt>
                <c:pt idx="14">
                  <c:v>84</c:v>
                </c:pt>
                <c:pt idx="15">
                  <c:v>12</c:v>
                </c:pt>
                <c:pt idx="16">
                  <c:v>24</c:v>
                </c:pt>
                <c:pt idx="17">
                  <c:v>36</c:v>
                </c:pt>
                <c:pt idx="18">
                  <c:v>48</c:v>
                </c:pt>
                <c:pt idx="19">
                  <c:v>60</c:v>
                </c:pt>
                <c:pt idx="20">
                  <c:v>72</c:v>
                </c:pt>
                <c:pt idx="21">
                  <c:v>12</c:v>
                </c:pt>
                <c:pt idx="22">
                  <c:v>24</c:v>
                </c:pt>
                <c:pt idx="23">
                  <c:v>36</c:v>
                </c:pt>
                <c:pt idx="24">
                  <c:v>48</c:v>
                </c:pt>
                <c:pt idx="25">
                  <c:v>60</c:v>
                </c:pt>
                <c:pt idx="26">
                  <c:v>12</c:v>
                </c:pt>
                <c:pt idx="27">
                  <c:v>24</c:v>
                </c:pt>
                <c:pt idx="28">
                  <c:v>36</c:v>
                </c:pt>
                <c:pt idx="29">
                  <c:v>48</c:v>
                </c:pt>
                <c:pt idx="30">
                  <c:v>12</c:v>
                </c:pt>
                <c:pt idx="31">
                  <c:v>24</c:v>
                </c:pt>
                <c:pt idx="32">
                  <c:v>36</c:v>
                </c:pt>
                <c:pt idx="33">
                  <c:v>12</c:v>
                </c:pt>
                <c:pt idx="34">
                  <c:v>24</c:v>
                </c:pt>
                <c:pt idx="35">
                  <c:v>12</c:v>
                </c:pt>
              </c:numCache>
            </c:numRef>
          </c:xVal>
          <c:yVal>
            <c:numRef>
              <c:f>F24ADVQ3!$AL$4:$AL$39</c:f>
              <c:numCache>
                <c:formatCode>0.0000</c:formatCode>
                <c:ptCount val="36"/>
                <c:pt idx="0">
                  <c:v>0.25594753573193568</c:v>
                </c:pt>
                <c:pt idx="1">
                  <c:v>-9.9292142600566923E-4</c:v>
                </c:pt>
                <c:pt idx="2">
                  <c:v>-1.2515747347174269</c:v>
                </c:pt>
                <c:pt idx="3">
                  <c:v>0.79749115099903067</c:v>
                </c:pt>
                <c:pt idx="4">
                  <c:v>-0.7117392284978652</c:v>
                </c:pt>
                <c:pt idx="5">
                  <c:v>2.0395452777336733</c:v>
                </c:pt>
                <c:pt idx="6">
                  <c:v>1.4362711090733247</c:v>
                </c:pt>
                <c:pt idx="7">
                  <c:v>-0.41212696362202578</c:v>
                </c:pt>
                <c:pt idx="8">
                  <c:v>0.80005140003554454</c:v>
                </c:pt>
                <c:pt idx="9">
                  <c:v>-0.56082928911940455</c:v>
                </c:pt>
                <c:pt idx="10">
                  <c:v>-0.90845672624479545</c:v>
                </c:pt>
                <c:pt idx="11">
                  <c:v>0.79749115099903067</c:v>
                </c:pt>
                <c:pt idx="12">
                  <c:v>0.46867058901621189</c:v>
                </c:pt>
                <c:pt idx="13">
                  <c:v>0.75871422473985872</c:v>
                </c:pt>
                <c:pt idx="14">
                  <c:v>-1.7647575411654535</c:v>
                </c:pt>
                <c:pt idx="15">
                  <c:v>-0.97334317026729356</c:v>
                </c:pt>
                <c:pt idx="16">
                  <c:v>0.35539971133170539</c:v>
                </c:pt>
                <c:pt idx="17">
                  <c:v>-0.81158824868333257</c:v>
                </c:pt>
                <c:pt idx="18">
                  <c:v>-0.38003205552560654</c:v>
                </c:pt>
                <c:pt idx="19">
                  <c:v>0.72167077960840531</c:v>
                </c:pt>
                <c:pt idx="20">
                  <c:v>-1.8196052429665566</c:v>
                </c:pt>
                <c:pt idx="21">
                  <c:v>0.43178149559892581</c:v>
                </c:pt>
                <c:pt idx="22">
                  <c:v>0.55975431138676224</c:v>
                </c:pt>
                <c:pt idx="23">
                  <c:v>0.73478362645420747</c:v>
                </c:pt>
                <c:pt idx="24">
                  <c:v>-7.09475054347352E-2</c:v>
                </c:pt>
                <c:pt idx="25">
                  <c:v>-0.15209205096854286</c:v>
                </c:pt>
                <c:pt idx="26">
                  <c:v>0.59032135113588013</c:v>
                </c:pt>
                <c:pt idx="27">
                  <c:v>0.68739757603902141</c:v>
                </c:pt>
                <c:pt idx="28">
                  <c:v>1.2860200764973175</c:v>
                </c:pt>
                <c:pt idx="29">
                  <c:v>-1.0723671207262513</c:v>
                </c:pt>
                <c:pt idx="30">
                  <c:v>-0.42489574643739786</c:v>
                </c:pt>
                <c:pt idx="31">
                  <c:v>1.04321394947266</c:v>
                </c:pt>
                <c:pt idx="32">
                  <c:v>-0.26057687926441747</c:v>
                </c:pt>
                <c:pt idx="33">
                  <c:v>-1.8972888273722865</c:v>
                </c:pt>
                <c:pt idx="34">
                  <c:v>-1.16290161474631</c:v>
                </c:pt>
                <c:pt idx="35">
                  <c:v>0.90412957253120341</c:v>
                </c:pt>
              </c:numCache>
            </c:numRef>
          </c:yVal>
          <c:smooth val="0"/>
          <c:extLst>
            <c:ext xmlns:c16="http://schemas.microsoft.com/office/drawing/2014/chart" uri="{C3380CC4-5D6E-409C-BE32-E72D297353CC}">
              <c16:uniqueId val="{00000000-DD99-4B35-B928-5B1B0AD376F9}"/>
            </c:ext>
          </c:extLst>
        </c:ser>
        <c:dLbls>
          <c:showLegendKey val="0"/>
          <c:showVal val="0"/>
          <c:showCatName val="0"/>
          <c:showSerName val="0"/>
          <c:showPercent val="0"/>
          <c:showBubbleSize val="0"/>
        </c:dLbls>
        <c:axId val="604553375"/>
        <c:axId val="604526975"/>
      </c:scatterChart>
      <c:valAx>
        <c:axId val="6045533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526975"/>
        <c:crosses val="autoZero"/>
        <c:crossBetween val="midCat"/>
      </c:valAx>
      <c:valAx>
        <c:axId val="604526975"/>
        <c:scaling>
          <c:orientation val="minMax"/>
          <c:max val="2.5"/>
          <c:min val="-2.5"/>
        </c:scaling>
        <c:delete val="0"/>
        <c:axPos val="l"/>
        <c:majorGridlines>
          <c:spPr>
            <a:ln w="9525" cap="flat" cmpd="sng" algn="ctr">
              <a:solidFill>
                <a:schemeClr val="tx1">
                  <a:lumMod val="15000"/>
                  <a:lumOff val="85000"/>
                </a:schemeClr>
              </a:solidFill>
              <a:round/>
            </a:ln>
            <a:effectLst/>
          </c:spPr>
        </c:majorGridlines>
        <c:numFmt formatCode="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55337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4296737901289484E-2"/>
          <c:y val="0.16634383840623956"/>
          <c:w val="0.86837550095488469"/>
          <c:h val="0.68173065140445299"/>
        </c:manualLayout>
      </c:layout>
      <c:scatterChart>
        <c:scatterStyle val="lineMarker"/>
        <c:varyColors val="0"/>
        <c:ser>
          <c:idx val="0"/>
          <c:order val="0"/>
          <c:tx>
            <c:strRef>
              <c:f>F24ADVQ3!$AT$3</c:f>
              <c:strCache>
                <c:ptCount val="1"/>
                <c:pt idx="0">
                  <c:v>Normalized residuals</c:v>
                </c:pt>
              </c:strCache>
            </c:strRef>
          </c:tx>
          <c:spPr>
            <a:ln w="25400" cap="rnd">
              <a:noFill/>
              <a:round/>
            </a:ln>
            <a:effectLst/>
          </c:spPr>
          <c:marker>
            <c:symbol val="circle"/>
            <c:size val="5"/>
            <c:spPr>
              <a:solidFill>
                <a:schemeClr val="accent1"/>
              </a:solidFill>
              <a:ln w="9525">
                <a:solidFill>
                  <a:schemeClr val="accent1"/>
                </a:solidFill>
              </a:ln>
              <a:effectLst/>
            </c:spPr>
          </c:marker>
          <c:xVal>
            <c:numRef>
              <c:f>F24ADVQ3!$AS$4:$AS$39</c:f>
              <c:numCache>
                <c:formatCode>General</c:formatCode>
                <c:ptCount val="36"/>
                <c:pt idx="0">
                  <c:v>12</c:v>
                </c:pt>
                <c:pt idx="1">
                  <c:v>24</c:v>
                </c:pt>
                <c:pt idx="2">
                  <c:v>36</c:v>
                </c:pt>
                <c:pt idx="3">
                  <c:v>48</c:v>
                </c:pt>
                <c:pt idx="4">
                  <c:v>60</c:v>
                </c:pt>
                <c:pt idx="5">
                  <c:v>72</c:v>
                </c:pt>
                <c:pt idx="6">
                  <c:v>84</c:v>
                </c:pt>
                <c:pt idx="7">
                  <c:v>96</c:v>
                </c:pt>
                <c:pt idx="8">
                  <c:v>12</c:v>
                </c:pt>
                <c:pt idx="9">
                  <c:v>24</c:v>
                </c:pt>
                <c:pt idx="10">
                  <c:v>36</c:v>
                </c:pt>
                <c:pt idx="11">
                  <c:v>48</c:v>
                </c:pt>
                <c:pt idx="12">
                  <c:v>60</c:v>
                </c:pt>
                <c:pt idx="13">
                  <c:v>72</c:v>
                </c:pt>
                <c:pt idx="14">
                  <c:v>84</c:v>
                </c:pt>
                <c:pt idx="15">
                  <c:v>12</c:v>
                </c:pt>
                <c:pt idx="16">
                  <c:v>24</c:v>
                </c:pt>
                <c:pt idx="17">
                  <c:v>36</c:v>
                </c:pt>
                <c:pt idx="18">
                  <c:v>48</c:v>
                </c:pt>
                <c:pt idx="19">
                  <c:v>60</c:v>
                </c:pt>
                <c:pt idx="20">
                  <c:v>72</c:v>
                </c:pt>
                <c:pt idx="21">
                  <c:v>12</c:v>
                </c:pt>
                <c:pt idx="22">
                  <c:v>24</c:v>
                </c:pt>
                <c:pt idx="23">
                  <c:v>36</c:v>
                </c:pt>
                <c:pt idx="24">
                  <c:v>48</c:v>
                </c:pt>
                <c:pt idx="25">
                  <c:v>60</c:v>
                </c:pt>
                <c:pt idx="26">
                  <c:v>12</c:v>
                </c:pt>
                <c:pt idx="27">
                  <c:v>24</c:v>
                </c:pt>
                <c:pt idx="28">
                  <c:v>36</c:v>
                </c:pt>
                <c:pt idx="29">
                  <c:v>48</c:v>
                </c:pt>
                <c:pt idx="30">
                  <c:v>12</c:v>
                </c:pt>
                <c:pt idx="31">
                  <c:v>24</c:v>
                </c:pt>
                <c:pt idx="32">
                  <c:v>36</c:v>
                </c:pt>
                <c:pt idx="33">
                  <c:v>12</c:v>
                </c:pt>
                <c:pt idx="34">
                  <c:v>24</c:v>
                </c:pt>
                <c:pt idx="35">
                  <c:v>12</c:v>
                </c:pt>
              </c:numCache>
            </c:numRef>
          </c:xVal>
          <c:yVal>
            <c:numRef>
              <c:f>F24ADVQ3!$AT$4:$AT$39</c:f>
              <c:numCache>
                <c:formatCode>0.0000</c:formatCode>
                <c:ptCount val="36"/>
                <c:pt idx="0">
                  <c:v>0.45906308870227858</c:v>
                </c:pt>
                <c:pt idx="1">
                  <c:v>-0.29408475449814403</c:v>
                </c:pt>
                <c:pt idx="2">
                  <c:v>-1.0127523054278234</c:v>
                </c:pt>
                <c:pt idx="3">
                  <c:v>1.2019061516920049</c:v>
                </c:pt>
                <c:pt idx="4">
                  <c:v>-0.87697873775282609</c:v>
                </c:pt>
                <c:pt idx="5">
                  <c:v>1.1305085016117558</c:v>
                </c:pt>
                <c:pt idx="6">
                  <c:v>0.19487423205414511</c:v>
                </c:pt>
                <c:pt idx="7">
                  <c:v>-0.94142535029363394</c:v>
                </c:pt>
                <c:pt idx="8">
                  <c:v>1.0438356384489584</c:v>
                </c:pt>
                <c:pt idx="9">
                  <c:v>-0.86142455905415027</c:v>
                </c:pt>
                <c:pt idx="10">
                  <c:v>-0.64203500537978897</c:v>
                </c:pt>
                <c:pt idx="11">
                  <c:v>1.2019061516920049</c:v>
                </c:pt>
                <c:pt idx="12">
                  <c:v>0.30031743004859635</c:v>
                </c:pt>
                <c:pt idx="13">
                  <c:v>7.0109109454791055E-2</c:v>
                </c:pt>
                <c:pt idx="14">
                  <c:v>-1.8615422728505981</c:v>
                </c:pt>
                <c:pt idx="15">
                  <c:v>-0.85644774777300159</c:v>
                </c:pt>
                <c:pt idx="16">
                  <c:v>5.8064673108281326E-2</c:v>
                </c:pt>
                <c:pt idx="17">
                  <c:v>-0.52692630751282044</c:v>
                </c:pt>
                <c:pt idx="18">
                  <c:v>-7.9945663445048026E-2</c:v>
                </c:pt>
                <c:pt idx="19">
                  <c:v>0.54750700625159943</c:v>
                </c:pt>
                <c:pt idx="20">
                  <c:v>-2.0816544550313241</c:v>
                </c:pt>
                <c:pt idx="21">
                  <c:v>0.65920019926141105</c:v>
                </c:pt>
                <c:pt idx="22">
                  <c:v>0.25639992974752485</c:v>
                </c:pt>
                <c:pt idx="23">
                  <c:v>1.1539760582751457</c:v>
                </c:pt>
                <c:pt idx="24">
                  <c:v>0.26893524155779674</c:v>
                </c:pt>
                <c:pt idx="25">
                  <c:v>-0.32894512150298721</c:v>
                </c:pt>
                <c:pt idx="26">
                  <c:v>0.8401459293020187</c:v>
                </c:pt>
                <c:pt idx="27">
                  <c:v>0.36893895202867732</c:v>
                </c:pt>
                <c:pt idx="28">
                  <c:v>1.7690302920459471</c:v>
                </c:pt>
                <c:pt idx="29">
                  <c:v>-0.81100953837166356</c:v>
                </c:pt>
                <c:pt idx="30">
                  <c:v>-0.24091285419370917</c:v>
                </c:pt>
                <c:pt idx="31">
                  <c:v>0.71353101974295896</c:v>
                </c:pt>
                <c:pt idx="32">
                  <c:v>0.11655635639432468</c:v>
                </c:pt>
                <c:pt idx="33">
                  <c:v>-1.8091192793398716</c:v>
                </c:pt>
                <c:pt idx="34">
                  <c:v>-1.5448360375763932</c:v>
                </c:pt>
                <c:pt idx="35">
                  <c:v>1.215097318034688</c:v>
                </c:pt>
              </c:numCache>
            </c:numRef>
          </c:yVal>
          <c:smooth val="0"/>
          <c:extLst>
            <c:ext xmlns:c16="http://schemas.microsoft.com/office/drawing/2014/chart" uri="{C3380CC4-5D6E-409C-BE32-E72D297353CC}">
              <c16:uniqueId val="{00000000-0085-4029-A4A5-BE22BDA485C0}"/>
            </c:ext>
          </c:extLst>
        </c:ser>
        <c:dLbls>
          <c:showLegendKey val="0"/>
          <c:showVal val="0"/>
          <c:showCatName val="0"/>
          <c:showSerName val="0"/>
          <c:showPercent val="0"/>
          <c:showBubbleSize val="0"/>
        </c:dLbls>
        <c:axId val="604553375"/>
        <c:axId val="604526975"/>
      </c:scatterChart>
      <c:valAx>
        <c:axId val="6045533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526975"/>
        <c:crosses val="autoZero"/>
        <c:crossBetween val="midCat"/>
      </c:valAx>
      <c:valAx>
        <c:axId val="604526975"/>
        <c:scaling>
          <c:orientation val="minMax"/>
          <c:max val="2.5"/>
          <c:min val="-2.5"/>
        </c:scaling>
        <c:delete val="0"/>
        <c:axPos val="l"/>
        <c:majorGridlines>
          <c:spPr>
            <a:ln w="19050" cap="flat" cmpd="sng" algn="ctr">
              <a:solidFill>
                <a:schemeClr val="tx1">
                  <a:lumMod val="15000"/>
                  <a:lumOff val="85000"/>
                </a:schemeClr>
              </a:solidFill>
              <a:round/>
            </a:ln>
            <a:effectLst/>
          </c:spPr>
        </c:majorGridlines>
        <c:numFmt formatCode="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55337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S23ADVQ12!$C$51</c:f>
              <c:strCache>
                <c:ptCount val="1"/>
                <c:pt idx="0">
                  <c:v>ILF</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S23ADVQ12!$B$52:$B$57</c:f>
              <c:numCache>
                <c:formatCode>#,##0</c:formatCode>
                <c:ptCount val="6"/>
                <c:pt idx="0">
                  <c:v>1000000</c:v>
                </c:pt>
                <c:pt idx="1">
                  <c:v>1500000</c:v>
                </c:pt>
                <c:pt idx="2">
                  <c:v>2000000</c:v>
                </c:pt>
                <c:pt idx="3">
                  <c:v>2500000</c:v>
                </c:pt>
                <c:pt idx="4">
                  <c:v>3500000</c:v>
                </c:pt>
                <c:pt idx="5">
                  <c:v>5000000</c:v>
                </c:pt>
              </c:numCache>
            </c:numRef>
          </c:xVal>
          <c:yVal>
            <c:numRef>
              <c:f>S23ADVQ12!$C$52:$C$57</c:f>
              <c:numCache>
                <c:formatCode>#,##0.000</c:formatCode>
                <c:ptCount val="6"/>
                <c:pt idx="0">
                  <c:v>1</c:v>
                </c:pt>
                <c:pt idx="1">
                  <c:v>1.0675974189346866</c:v>
                </c:pt>
                <c:pt idx="2">
                  <c:v>1.1100000000000001</c:v>
                </c:pt>
                <c:pt idx="3">
                  <c:v>1.1349024570632718</c:v>
                </c:pt>
                <c:pt idx="4">
                  <c:v>1.1678346167576579</c:v>
                </c:pt>
                <c:pt idx="5">
                  <c:v>1.1886700096513212</c:v>
                </c:pt>
              </c:numCache>
            </c:numRef>
          </c:yVal>
          <c:smooth val="1"/>
          <c:extLst>
            <c:ext xmlns:c16="http://schemas.microsoft.com/office/drawing/2014/chart" uri="{C3380CC4-5D6E-409C-BE32-E72D297353CC}">
              <c16:uniqueId val="{00000000-0E4D-4F0F-87DD-04C7B38768A2}"/>
            </c:ext>
          </c:extLst>
        </c:ser>
        <c:dLbls>
          <c:showLegendKey val="0"/>
          <c:showVal val="0"/>
          <c:showCatName val="0"/>
          <c:showSerName val="0"/>
          <c:showPercent val="0"/>
          <c:showBubbleSize val="0"/>
        </c:dLbls>
        <c:axId val="172042808"/>
        <c:axId val="172038872"/>
      </c:scatterChart>
      <c:valAx>
        <c:axId val="172042808"/>
        <c:scaling>
          <c:orientation val="minMax"/>
          <c:min val="10000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038872"/>
        <c:crosses val="autoZero"/>
        <c:crossBetween val="midCat"/>
      </c:valAx>
      <c:valAx>
        <c:axId val="172038872"/>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04280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Normalized residuals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3064565005122673E-2"/>
          <c:y val="0.16338876753942586"/>
          <c:w val="0.89113213627771182"/>
          <c:h val="0.65043079528501324"/>
        </c:manualLayout>
      </c:layout>
      <c:scatterChart>
        <c:scatterStyle val="lineMarker"/>
        <c:varyColors val="0"/>
        <c:ser>
          <c:idx val="0"/>
          <c:order val="0"/>
          <c:tx>
            <c:strRef>
              <c:f>F21ADVQ3!$C$7</c:f>
              <c:strCache>
                <c:ptCount val="1"/>
                <c:pt idx="0">
                  <c:v>To 
(months)</c:v>
                </c:pt>
              </c:strCache>
            </c:strRef>
          </c:tx>
          <c:spPr>
            <a:ln w="25400" cap="rnd">
              <a:noFill/>
              <a:round/>
            </a:ln>
            <a:effectLst/>
          </c:spPr>
          <c:marker>
            <c:symbol val="circle"/>
            <c:size val="5"/>
            <c:spPr>
              <a:solidFill>
                <a:schemeClr val="accent1"/>
              </a:solidFill>
              <a:ln w="9525">
                <a:solidFill>
                  <a:schemeClr val="accent1"/>
                </a:solidFill>
              </a:ln>
              <a:effectLst/>
            </c:spPr>
          </c:marker>
          <c:xVal>
            <c:numRef>
              <c:f>F21ADVQ3!$C$8:$C$17</c:f>
              <c:numCache>
                <c:formatCode>General</c:formatCode>
                <c:ptCount val="10"/>
                <c:pt idx="0">
                  <c:v>12</c:v>
                </c:pt>
                <c:pt idx="1">
                  <c:v>24</c:v>
                </c:pt>
                <c:pt idx="2">
                  <c:v>36</c:v>
                </c:pt>
                <c:pt idx="3">
                  <c:v>48</c:v>
                </c:pt>
                <c:pt idx="4">
                  <c:v>12</c:v>
                </c:pt>
                <c:pt idx="5">
                  <c:v>24</c:v>
                </c:pt>
                <c:pt idx="6">
                  <c:v>36</c:v>
                </c:pt>
                <c:pt idx="7">
                  <c:v>12</c:v>
                </c:pt>
                <c:pt idx="8">
                  <c:v>24</c:v>
                </c:pt>
                <c:pt idx="9">
                  <c:v>12</c:v>
                </c:pt>
              </c:numCache>
            </c:numRef>
          </c:xVal>
          <c:yVal>
            <c:numRef>
              <c:f>F21ADVQ3!$L$8:$L$17</c:f>
              <c:numCache>
                <c:formatCode>General</c:formatCode>
                <c:ptCount val="10"/>
                <c:pt idx="0">
                  <c:v>-0.19822449752619564</c:v>
                </c:pt>
                <c:pt idx="1">
                  <c:v>-0.11125491771858886</c:v>
                </c:pt>
                <c:pt idx="2">
                  <c:v>0.30352259508847157</c:v>
                </c:pt>
                <c:pt idx="3">
                  <c:v>0.87680344564101087</c:v>
                </c:pt>
                <c:pt idx="4">
                  <c:v>0.49903063976523909</c:v>
                </c:pt>
                <c:pt idx="5">
                  <c:v>-1.0733036329557306</c:v>
                </c:pt>
                <c:pt idx="6">
                  <c:v>1.0028952304256717</c:v>
                </c:pt>
                <c:pt idx="7">
                  <c:v>0.83489735632647932</c:v>
                </c:pt>
                <c:pt idx="8">
                  <c:v>-0.99174313060124031</c:v>
                </c:pt>
                <c:pt idx="9">
                  <c:v>0</c:v>
                </c:pt>
              </c:numCache>
            </c:numRef>
          </c:yVal>
          <c:smooth val="0"/>
          <c:extLst>
            <c:ext xmlns:c16="http://schemas.microsoft.com/office/drawing/2014/chart" uri="{C3380CC4-5D6E-409C-BE32-E72D297353CC}">
              <c16:uniqueId val="{00000000-9FFE-4040-B621-5282B1B176E2}"/>
            </c:ext>
          </c:extLst>
        </c:ser>
        <c:dLbls>
          <c:showLegendKey val="0"/>
          <c:showVal val="0"/>
          <c:showCatName val="0"/>
          <c:showSerName val="0"/>
          <c:showPercent val="0"/>
          <c:showBubbleSize val="0"/>
        </c:dLbls>
        <c:axId val="641119528"/>
        <c:axId val="641119856"/>
      </c:scatterChart>
      <c:valAx>
        <c:axId val="641119528"/>
        <c:scaling>
          <c:orientation val="minMax"/>
          <c:max val="5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 Age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1119856"/>
        <c:crossesAt val="-1.5"/>
        <c:crossBetween val="midCat"/>
      </c:valAx>
      <c:valAx>
        <c:axId val="641119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111952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6"/>
              </a:solidFill>
              <a:ln w="9525">
                <a:solidFill>
                  <a:schemeClr val="accent6"/>
                </a:solidFill>
              </a:ln>
              <a:effectLst/>
            </c:spPr>
          </c:marker>
          <c:xVal>
            <c:numRef>
              <c:f>F22ADVQ4!$A$77:$A$82</c:f>
              <c:numCache>
                <c:formatCode>#,##0</c:formatCode>
                <c:ptCount val="6"/>
                <c:pt idx="0">
                  <c:v>2089</c:v>
                </c:pt>
                <c:pt idx="1">
                  <c:v>3096</c:v>
                </c:pt>
                <c:pt idx="2">
                  <c:v>2382</c:v>
                </c:pt>
                <c:pt idx="3">
                  <c:v>1899</c:v>
                </c:pt>
                <c:pt idx="4">
                  <c:v>1538</c:v>
                </c:pt>
                <c:pt idx="5">
                  <c:v>1928</c:v>
                </c:pt>
              </c:numCache>
            </c:numRef>
          </c:xVal>
          <c:yVal>
            <c:numRef>
              <c:f>F22ADVQ4!$B$77:$B$82</c:f>
              <c:numCache>
                <c:formatCode>#,##0</c:formatCode>
                <c:ptCount val="6"/>
                <c:pt idx="0">
                  <c:v>7443</c:v>
                </c:pt>
                <c:pt idx="1">
                  <c:v>9116</c:v>
                </c:pt>
                <c:pt idx="2">
                  <c:v>8774</c:v>
                </c:pt>
                <c:pt idx="3">
                  <c:v>7537</c:v>
                </c:pt>
                <c:pt idx="4">
                  <c:v>6670</c:v>
                </c:pt>
                <c:pt idx="5">
                  <c:v>7197</c:v>
                </c:pt>
              </c:numCache>
            </c:numRef>
          </c:yVal>
          <c:smooth val="0"/>
          <c:extLst>
            <c:ext xmlns:c16="http://schemas.microsoft.com/office/drawing/2014/chart" uri="{C3380CC4-5D6E-409C-BE32-E72D297353CC}">
              <c16:uniqueId val="{00000000-58C8-40A5-A5A3-D01768D89B46}"/>
            </c:ext>
          </c:extLst>
        </c:ser>
        <c:dLbls>
          <c:showLegendKey val="0"/>
          <c:showVal val="0"/>
          <c:showCatName val="0"/>
          <c:showSerName val="0"/>
          <c:showPercent val="0"/>
          <c:showBubbleSize val="0"/>
        </c:dLbls>
        <c:axId val="1736090480"/>
        <c:axId val="1736087984"/>
      </c:scatterChart>
      <c:valAx>
        <c:axId val="173609048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087984"/>
        <c:crosses val="autoZero"/>
        <c:crossBetween val="midCat"/>
      </c:valAx>
      <c:valAx>
        <c:axId val="17360879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0904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lumMod val="20000"/>
        <a:lumOff val="80000"/>
      </a:schemeClr>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S24ADVQ4!$A$44</c:f>
              <c:strCache>
                <c:ptCount val="1"/>
                <c:pt idx="0">
                  <c:v>DY 1 development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S24ADVQ4!$A$47:$A$55</c:f>
              <c:numCache>
                <c:formatCode>General</c:formatCode>
                <c:ptCount val="9"/>
                <c:pt idx="0">
                  <c:v>30374</c:v>
                </c:pt>
                <c:pt idx="1">
                  <c:v>30346</c:v>
                </c:pt>
                <c:pt idx="2">
                  <c:v>35782</c:v>
                </c:pt>
                <c:pt idx="3">
                  <c:v>32230</c:v>
                </c:pt>
                <c:pt idx="4">
                  <c:v>41583</c:v>
                </c:pt>
                <c:pt idx="5">
                  <c:v>70281</c:v>
                </c:pt>
                <c:pt idx="6">
                  <c:v>71668</c:v>
                </c:pt>
                <c:pt idx="7">
                  <c:v>59878</c:v>
                </c:pt>
                <c:pt idx="8">
                  <c:v>61721</c:v>
                </c:pt>
              </c:numCache>
            </c:numRef>
          </c:xVal>
          <c:yVal>
            <c:numRef>
              <c:f>S24ADVQ4!$B$47:$B$55</c:f>
              <c:numCache>
                <c:formatCode>General</c:formatCode>
                <c:ptCount val="9"/>
                <c:pt idx="0">
                  <c:v>76584</c:v>
                </c:pt>
                <c:pt idx="1">
                  <c:v>83030</c:v>
                </c:pt>
                <c:pt idx="2">
                  <c:v>93320</c:v>
                </c:pt>
                <c:pt idx="3">
                  <c:v>87349</c:v>
                </c:pt>
                <c:pt idx="4">
                  <c:v>109196</c:v>
                </c:pt>
                <c:pt idx="5">
                  <c:v>183436</c:v>
                </c:pt>
                <c:pt idx="6">
                  <c:v>177489</c:v>
                </c:pt>
                <c:pt idx="7">
                  <c:v>150125</c:v>
                </c:pt>
                <c:pt idx="8">
                  <c:v>146504</c:v>
                </c:pt>
              </c:numCache>
            </c:numRef>
          </c:yVal>
          <c:smooth val="0"/>
          <c:extLst>
            <c:ext xmlns:c16="http://schemas.microsoft.com/office/drawing/2014/chart" uri="{C3380CC4-5D6E-409C-BE32-E72D297353CC}">
              <c16:uniqueId val="{00000002-E23A-48AD-959F-3ACA9F6EEB2D}"/>
            </c:ext>
          </c:extLst>
        </c:ser>
        <c:dLbls>
          <c:showLegendKey val="0"/>
          <c:showVal val="0"/>
          <c:showCatName val="0"/>
          <c:showSerName val="0"/>
          <c:showPercent val="0"/>
          <c:showBubbleSize val="0"/>
        </c:dLbls>
        <c:axId val="837643423"/>
        <c:axId val="841943359"/>
      </c:scatterChart>
      <c:valAx>
        <c:axId val="83764342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43359"/>
        <c:crosses val="autoZero"/>
        <c:crossBetween val="midCat"/>
      </c:valAx>
      <c:valAx>
        <c:axId val="8419433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64342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S24ADVQ4!$I$44</c:f>
              <c:strCache>
                <c:ptCount val="1"/>
                <c:pt idx="0">
                  <c:v>DY 2 development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S24ADVQ4!$I$47:$I$54</c:f>
              <c:numCache>
                <c:formatCode>General</c:formatCode>
                <c:ptCount val="8"/>
                <c:pt idx="0">
                  <c:v>76584</c:v>
                </c:pt>
                <c:pt idx="1">
                  <c:v>83030</c:v>
                </c:pt>
                <c:pt idx="2">
                  <c:v>93320</c:v>
                </c:pt>
                <c:pt idx="3">
                  <c:v>87349</c:v>
                </c:pt>
                <c:pt idx="4">
                  <c:v>109196</c:v>
                </c:pt>
                <c:pt idx="5">
                  <c:v>183436</c:v>
                </c:pt>
                <c:pt idx="6">
                  <c:v>177489</c:v>
                </c:pt>
                <c:pt idx="7">
                  <c:v>150125</c:v>
                </c:pt>
              </c:numCache>
            </c:numRef>
          </c:xVal>
          <c:yVal>
            <c:numRef>
              <c:f>S24ADVQ4!$J$47:$J$54</c:f>
              <c:numCache>
                <c:formatCode>General</c:formatCode>
                <c:ptCount val="8"/>
                <c:pt idx="0">
                  <c:v>104035</c:v>
                </c:pt>
                <c:pt idx="1">
                  <c:v>114913</c:v>
                </c:pt>
                <c:pt idx="2">
                  <c:v>131071</c:v>
                </c:pt>
                <c:pt idx="3">
                  <c:v>124761</c:v>
                </c:pt>
                <c:pt idx="4">
                  <c:v>147524</c:v>
                </c:pt>
                <c:pt idx="5">
                  <c:v>234094</c:v>
                </c:pt>
                <c:pt idx="6">
                  <c:v>229819</c:v>
                </c:pt>
                <c:pt idx="7">
                  <c:v>191380</c:v>
                </c:pt>
              </c:numCache>
            </c:numRef>
          </c:yVal>
          <c:smooth val="0"/>
          <c:extLst>
            <c:ext xmlns:c16="http://schemas.microsoft.com/office/drawing/2014/chart" uri="{C3380CC4-5D6E-409C-BE32-E72D297353CC}">
              <c16:uniqueId val="{00000001-0E3E-48F1-8447-245A1E0D8A9B}"/>
            </c:ext>
          </c:extLst>
        </c:ser>
        <c:dLbls>
          <c:showLegendKey val="0"/>
          <c:showVal val="0"/>
          <c:showCatName val="0"/>
          <c:showSerName val="0"/>
          <c:showPercent val="0"/>
          <c:showBubbleSize val="0"/>
        </c:dLbls>
        <c:axId val="837655903"/>
        <c:axId val="971662191"/>
      </c:scatterChart>
      <c:valAx>
        <c:axId val="8376559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1662191"/>
        <c:crosses val="autoZero"/>
        <c:crossBetween val="midCat"/>
      </c:valAx>
      <c:valAx>
        <c:axId val="9716621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65590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S24ADVQ4!$R$44</c:f>
              <c:strCache>
                <c:ptCount val="1"/>
                <c:pt idx="0">
                  <c:v>DY 3 development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S24ADVQ4!$R$47:$R$53</c:f>
              <c:numCache>
                <c:formatCode>General</c:formatCode>
                <c:ptCount val="7"/>
                <c:pt idx="0">
                  <c:v>104035</c:v>
                </c:pt>
                <c:pt idx="1">
                  <c:v>114913</c:v>
                </c:pt>
                <c:pt idx="2">
                  <c:v>131071</c:v>
                </c:pt>
                <c:pt idx="3">
                  <c:v>124761</c:v>
                </c:pt>
                <c:pt idx="4">
                  <c:v>147524</c:v>
                </c:pt>
                <c:pt idx="5">
                  <c:v>234094</c:v>
                </c:pt>
                <c:pt idx="6">
                  <c:v>229819</c:v>
                </c:pt>
              </c:numCache>
            </c:numRef>
          </c:xVal>
          <c:yVal>
            <c:numRef>
              <c:f>S24ADVQ4!$S$47:$S$53</c:f>
              <c:numCache>
                <c:formatCode>General</c:formatCode>
                <c:ptCount val="7"/>
                <c:pt idx="0">
                  <c:v>124753</c:v>
                </c:pt>
                <c:pt idx="1">
                  <c:v>133802</c:v>
                </c:pt>
                <c:pt idx="2">
                  <c:v>145988</c:v>
                </c:pt>
                <c:pt idx="3">
                  <c:v>148440</c:v>
                </c:pt>
                <c:pt idx="4">
                  <c:v>176075</c:v>
                </c:pt>
                <c:pt idx="5">
                  <c:v>273204</c:v>
                </c:pt>
                <c:pt idx="6">
                  <c:v>258084</c:v>
                </c:pt>
              </c:numCache>
            </c:numRef>
          </c:yVal>
          <c:smooth val="0"/>
          <c:extLst>
            <c:ext xmlns:c16="http://schemas.microsoft.com/office/drawing/2014/chart" uri="{C3380CC4-5D6E-409C-BE32-E72D297353CC}">
              <c16:uniqueId val="{00000001-6E72-42C9-856E-D9865E7D9DE7}"/>
            </c:ext>
          </c:extLst>
        </c:ser>
        <c:dLbls>
          <c:showLegendKey val="0"/>
          <c:showVal val="0"/>
          <c:showCatName val="0"/>
          <c:showSerName val="0"/>
          <c:showPercent val="0"/>
          <c:showBubbleSize val="0"/>
        </c:dLbls>
        <c:axId val="1050451855"/>
        <c:axId val="1049759759"/>
      </c:scatterChart>
      <c:valAx>
        <c:axId val="10504518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759759"/>
        <c:crosses val="autoZero"/>
        <c:crossBetween val="midCat"/>
      </c:valAx>
      <c:valAx>
        <c:axId val="10497597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045185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S24ADVQ4!$A$63</c:f>
              <c:strCache>
                <c:ptCount val="1"/>
                <c:pt idx="0">
                  <c:v>DY 1 vs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S24ADVQ4!$A$66:$A$74</c:f>
              <c:numCache>
                <c:formatCode>General</c:formatCode>
                <c:ptCount val="9"/>
                <c:pt idx="0">
                  <c:v>30374</c:v>
                </c:pt>
                <c:pt idx="1">
                  <c:v>30346</c:v>
                </c:pt>
                <c:pt idx="2">
                  <c:v>35782</c:v>
                </c:pt>
                <c:pt idx="3">
                  <c:v>32230</c:v>
                </c:pt>
                <c:pt idx="4">
                  <c:v>41583</c:v>
                </c:pt>
                <c:pt idx="5">
                  <c:v>70281</c:v>
                </c:pt>
                <c:pt idx="6">
                  <c:v>71668</c:v>
                </c:pt>
                <c:pt idx="7">
                  <c:v>59878</c:v>
                </c:pt>
                <c:pt idx="8">
                  <c:v>61721</c:v>
                </c:pt>
              </c:numCache>
            </c:numRef>
          </c:xVal>
          <c:yVal>
            <c:numRef>
              <c:f>S24ADVQ4!$B$66:$B$74</c:f>
              <c:numCache>
                <c:formatCode>_(* #,##0.00_);_(* \(#,##0.00\);_(* "-"??_);_(@_)</c:formatCode>
                <c:ptCount val="9"/>
                <c:pt idx="0">
                  <c:v>-5.2643038359369152</c:v>
                </c:pt>
                <c:pt idx="1">
                  <c:v>32.146616954841875</c:v>
                </c:pt>
                <c:pt idx="2">
                  <c:v>10.676731705431079</c:v>
                </c:pt>
                <c:pt idx="3">
                  <c:v>28.473747134697071</c:v>
                </c:pt>
                <c:pt idx="4">
                  <c:v>15.172443789283584</c:v>
                </c:pt>
                <c:pt idx="5">
                  <c:v>15.499168063966833</c:v>
                </c:pt>
                <c:pt idx="6">
                  <c:v>-20.085684818533267</c:v>
                </c:pt>
                <c:pt idx="7">
                  <c:v>-10.862582809300095</c:v>
                </c:pt>
                <c:pt idx="8">
                  <c:v>-44.202817963369625</c:v>
                </c:pt>
              </c:numCache>
            </c:numRef>
          </c:yVal>
          <c:smooth val="0"/>
          <c:extLst>
            <c:ext xmlns:c16="http://schemas.microsoft.com/office/drawing/2014/chart" uri="{C3380CC4-5D6E-409C-BE32-E72D297353CC}">
              <c16:uniqueId val="{00000000-355F-4431-8E64-BE82A8B3F458}"/>
            </c:ext>
          </c:extLst>
        </c:ser>
        <c:dLbls>
          <c:showLegendKey val="0"/>
          <c:showVal val="0"/>
          <c:showCatName val="0"/>
          <c:showSerName val="0"/>
          <c:showPercent val="0"/>
          <c:showBubbleSize val="0"/>
        </c:dLbls>
        <c:axId val="984435631"/>
        <c:axId val="1049760255"/>
      </c:scatterChart>
      <c:valAx>
        <c:axId val="9844356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760255"/>
        <c:crosses val="autoZero"/>
        <c:crossBetween val="midCat"/>
      </c:valAx>
      <c:valAx>
        <c:axId val="1049760255"/>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443563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S24ADVQ4!$I$63</c:f>
              <c:strCache>
                <c:ptCount val="1"/>
                <c:pt idx="0">
                  <c:v>DY 2 vs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S24ADVQ4!$I$66:$I$73</c:f>
              <c:numCache>
                <c:formatCode>General</c:formatCode>
                <c:ptCount val="8"/>
                <c:pt idx="0">
                  <c:v>76584</c:v>
                </c:pt>
                <c:pt idx="1">
                  <c:v>83030</c:v>
                </c:pt>
                <c:pt idx="2">
                  <c:v>93320</c:v>
                </c:pt>
                <c:pt idx="3">
                  <c:v>87349</c:v>
                </c:pt>
                <c:pt idx="4">
                  <c:v>109196</c:v>
                </c:pt>
                <c:pt idx="5">
                  <c:v>183436</c:v>
                </c:pt>
                <c:pt idx="6">
                  <c:v>177489</c:v>
                </c:pt>
                <c:pt idx="7">
                  <c:v>150125</c:v>
                </c:pt>
              </c:numCache>
            </c:numRef>
          </c:xVal>
          <c:yVal>
            <c:numRef>
              <c:f>S24ADVQ4!$J$66:$J$73</c:f>
              <c:numCache>
                <c:formatCode>_(* #,##0.00_);_(* \(#,##0.00\);_(* "-"??_);_(@_)</c:formatCode>
                <c:ptCount val="8"/>
                <c:pt idx="0">
                  <c:v>7.8443495360491529</c:v>
                </c:pt>
                <c:pt idx="1">
                  <c:v>15.530227708504553</c:v>
                </c:pt>
                <c:pt idx="2">
                  <c:v>22.738802942350031</c:v>
                </c:pt>
                <c:pt idx="3">
                  <c:v>29.025115980747142</c:v>
                </c:pt>
                <c:pt idx="4">
                  <c:v>6.907886665130321</c:v>
                </c:pt>
                <c:pt idx="5">
                  <c:v>-23.100290838266883</c:v>
                </c:pt>
                <c:pt idx="6">
                  <c:v>-14.855724953510448</c:v>
                </c:pt>
                <c:pt idx="7">
                  <c:v>-21.423784421866849</c:v>
                </c:pt>
              </c:numCache>
            </c:numRef>
          </c:yVal>
          <c:smooth val="0"/>
          <c:extLst>
            <c:ext xmlns:c16="http://schemas.microsoft.com/office/drawing/2014/chart" uri="{C3380CC4-5D6E-409C-BE32-E72D297353CC}">
              <c16:uniqueId val="{00000000-7B3B-4140-A1D1-3532123F7945}"/>
            </c:ext>
          </c:extLst>
        </c:ser>
        <c:dLbls>
          <c:showLegendKey val="0"/>
          <c:showVal val="0"/>
          <c:showCatName val="0"/>
          <c:showSerName val="0"/>
          <c:showPercent val="0"/>
          <c:showBubbleSize val="0"/>
        </c:dLbls>
        <c:axId val="1050454255"/>
        <c:axId val="841933935"/>
      </c:scatterChart>
      <c:valAx>
        <c:axId val="10504542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33935"/>
        <c:crosses val="autoZero"/>
        <c:crossBetween val="midCat"/>
      </c:valAx>
      <c:valAx>
        <c:axId val="841933935"/>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045425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S24ADVQ4!$R$63</c:f>
              <c:strCache>
                <c:ptCount val="1"/>
                <c:pt idx="0">
                  <c:v>DY 3 vs Residuals</c:v>
                </c:pt>
              </c:strCache>
            </c:strRef>
          </c:tx>
          <c:spPr>
            <a:ln w="19050" cap="rnd">
              <a:noFill/>
              <a:round/>
            </a:ln>
            <a:effectLst/>
          </c:spPr>
          <c:marker>
            <c:symbol val="circle"/>
            <c:size val="5"/>
            <c:spPr>
              <a:solidFill>
                <a:schemeClr val="accent1"/>
              </a:solidFill>
              <a:ln w="9525">
                <a:solidFill>
                  <a:schemeClr val="accent1"/>
                </a:solidFill>
              </a:ln>
              <a:effectLst/>
            </c:spPr>
          </c:marker>
          <c:xVal>
            <c:numRef>
              <c:f>S24ADVQ4!$R$66:$R$72</c:f>
              <c:numCache>
                <c:formatCode>General</c:formatCode>
                <c:ptCount val="7"/>
                <c:pt idx="0">
                  <c:v>104035</c:v>
                </c:pt>
                <c:pt idx="1">
                  <c:v>114913</c:v>
                </c:pt>
                <c:pt idx="2">
                  <c:v>131071</c:v>
                </c:pt>
                <c:pt idx="3">
                  <c:v>124761</c:v>
                </c:pt>
                <c:pt idx="4">
                  <c:v>147524</c:v>
                </c:pt>
                <c:pt idx="5">
                  <c:v>234094</c:v>
                </c:pt>
                <c:pt idx="6">
                  <c:v>229819</c:v>
                </c:pt>
              </c:numCache>
            </c:numRef>
          </c:xVal>
          <c:yVal>
            <c:numRef>
              <c:f>S24ADVQ4!$S$66:$S$72</c:f>
              <c:numCache>
                <c:formatCode>_(* #,##0.00_);_(* \(#,##0.00\);_(* "-"??_);_(@_)</c:formatCode>
                <c:ptCount val="7"/>
                <c:pt idx="0">
                  <c:v>12.526589847748756</c:v>
                </c:pt>
                <c:pt idx="1">
                  <c:v>1.3792688680674361</c:v>
                </c:pt>
                <c:pt idx="2">
                  <c:v>-16.834444565503439</c:v>
                </c:pt>
                <c:pt idx="3">
                  <c:v>10.415307290338962</c:v>
                </c:pt>
                <c:pt idx="4">
                  <c:v>12.762057528928576</c:v>
                </c:pt>
                <c:pt idx="5">
                  <c:v>3.2716237546761682</c:v>
                </c:pt>
                <c:pt idx="6">
                  <c:v>-17.890834624533994</c:v>
                </c:pt>
              </c:numCache>
            </c:numRef>
          </c:yVal>
          <c:smooth val="0"/>
          <c:extLst>
            <c:ext xmlns:c16="http://schemas.microsoft.com/office/drawing/2014/chart" uri="{C3380CC4-5D6E-409C-BE32-E72D297353CC}">
              <c16:uniqueId val="{00000000-BDE5-419A-9F36-0F0482D09EC3}"/>
            </c:ext>
          </c:extLst>
        </c:ser>
        <c:dLbls>
          <c:showLegendKey val="0"/>
          <c:showVal val="0"/>
          <c:showCatName val="0"/>
          <c:showSerName val="0"/>
          <c:showPercent val="0"/>
          <c:showBubbleSize val="0"/>
        </c:dLbls>
        <c:axId val="1087678335"/>
        <c:axId val="841935919"/>
      </c:scatterChart>
      <c:valAx>
        <c:axId val="10876783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1935919"/>
        <c:crosses val="autoZero"/>
        <c:crossBetween val="midCat"/>
      </c:valAx>
      <c:valAx>
        <c:axId val="841935919"/>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67833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4"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w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0.wmf"/><Relationship Id="rId1" Type="http://schemas.openxmlformats.org/officeDocument/2006/relationships/image" Target="../media/image9.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229E6795-12B5-4F32-9174-FF1F2C0F1E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2567E2CA-9624-43F8-9258-B2A143C7981B}"/>
            </a:ext>
          </a:extLst>
        </xdr:cNvPr>
        <xdr:cNvCxnSpPr/>
      </xdr:nvCxnSpPr>
      <xdr:spPr>
        <a:xfrm>
          <a:off x="281940" y="172974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216E379C-3C29-41E4-AC71-32FF97A59107}"/>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76200</xdr:colOff>
          <xdr:row>56</xdr:row>
          <xdr:rowOff>152400</xdr:rowOff>
        </xdr:from>
        <xdr:to>
          <xdr:col>3</xdr:col>
          <xdr:colOff>777240</xdr:colOff>
          <xdr:row>58</xdr:row>
          <xdr:rowOff>182880</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2800-0000014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175260</xdr:colOff>
          <xdr:row>28</xdr:row>
          <xdr:rowOff>22860</xdr:rowOff>
        </xdr:from>
        <xdr:to>
          <xdr:col>7</xdr:col>
          <xdr:colOff>289560</xdr:colOff>
          <xdr:row>29</xdr:row>
          <xdr:rowOff>60960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3100-000001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29</xdr:row>
          <xdr:rowOff>38100</xdr:rowOff>
        </xdr:from>
        <xdr:to>
          <xdr:col>1</xdr:col>
          <xdr:colOff>304800</xdr:colOff>
          <xdr:row>30</xdr:row>
          <xdr:rowOff>0</xdr:rowOff>
        </xdr:to>
        <xdr:sp macro="" textlink="">
          <xdr:nvSpPr>
            <xdr:cNvPr id="21506" name="Object 2" hidden="1">
              <a:extLst>
                <a:ext uri="{63B3BB69-23CF-44E3-9099-C40C66FF867C}">
                  <a14:compatExt spid="_x0000_s21506"/>
                </a:ext>
                <a:ext uri="{FF2B5EF4-FFF2-40B4-BE49-F238E27FC236}">
                  <a16:creationId xmlns:a16="http://schemas.microsoft.com/office/drawing/2014/main" id="{00000000-0008-0000-3100-000002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556260</xdr:colOff>
          <xdr:row>36</xdr:row>
          <xdr:rowOff>60960</xdr:rowOff>
        </xdr:from>
        <xdr:to>
          <xdr:col>3</xdr:col>
          <xdr:colOff>693420</xdr:colOff>
          <xdr:row>36</xdr:row>
          <xdr:rowOff>220980</xdr:rowOff>
        </xdr:to>
        <xdr:sp macro="" textlink="">
          <xdr:nvSpPr>
            <xdr:cNvPr id="21507" name="Object 3" hidden="1">
              <a:extLst>
                <a:ext uri="{63B3BB69-23CF-44E3-9099-C40C66FF867C}">
                  <a14:compatExt spid="_x0000_s21507"/>
                </a:ext>
                <a:ext uri="{FF2B5EF4-FFF2-40B4-BE49-F238E27FC236}">
                  <a16:creationId xmlns:a16="http://schemas.microsoft.com/office/drawing/2014/main" id="{00000000-0008-0000-3100-000003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5</xdr:col>
      <xdr:colOff>464991</xdr:colOff>
      <xdr:row>49</xdr:row>
      <xdr:rowOff>54725</xdr:rowOff>
    </xdr:from>
    <xdr:to>
      <xdr:col>12</xdr:col>
      <xdr:colOff>628648</xdr:colOff>
      <xdr:row>63</xdr:row>
      <xdr:rowOff>19223</xdr:rowOff>
    </xdr:to>
    <xdr:graphicFrame macro="">
      <xdr:nvGraphicFramePr>
        <xdr:cNvPr id="2" name="Chart 1">
          <a:extLst>
            <a:ext uri="{FF2B5EF4-FFF2-40B4-BE49-F238E27FC236}">
              <a16:creationId xmlns:a16="http://schemas.microsoft.com/office/drawing/2014/main" id="{8D9412A2-FF13-4AC9-9F63-0333B1688B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0</xdr:col>
      <xdr:colOff>434340</xdr:colOff>
      <xdr:row>23</xdr:row>
      <xdr:rowOff>0</xdr:rowOff>
    </xdr:from>
    <xdr:ext cx="65" cy="172227"/>
    <xdr:sp macro="" textlink="">
      <xdr:nvSpPr>
        <xdr:cNvPr id="2" name="TextBox 1">
          <a:extLst>
            <a:ext uri="{FF2B5EF4-FFF2-40B4-BE49-F238E27FC236}">
              <a16:creationId xmlns:a16="http://schemas.microsoft.com/office/drawing/2014/main" id="{F4BB4B08-5F4E-46A5-967F-05A3DA8787DF}"/>
            </a:ext>
          </a:extLst>
        </xdr:cNvPr>
        <xdr:cNvSpPr txBox="1"/>
      </xdr:nvSpPr>
      <xdr:spPr>
        <a:xfrm>
          <a:off x="438150" y="4162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23</xdr:row>
      <xdr:rowOff>0</xdr:rowOff>
    </xdr:from>
    <xdr:ext cx="65" cy="172227"/>
    <xdr:sp macro="" textlink="">
      <xdr:nvSpPr>
        <xdr:cNvPr id="3" name="TextBox 2">
          <a:extLst>
            <a:ext uri="{FF2B5EF4-FFF2-40B4-BE49-F238E27FC236}">
              <a16:creationId xmlns:a16="http://schemas.microsoft.com/office/drawing/2014/main" id="{50F848D9-AA46-43FD-A0AB-B5CF2361C23D}"/>
            </a:ext>
          </a:extLst>
        </xdr:cNvPr>
        <xdr:cNvSpPr txBox="1"/>
      </xdr:nvSpPr>
      <xdr:spPr>
        <a:xfrm>
          <a:off x="438150" y="4162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259080</xdr:colOff>
          <xdr:row>20</xdr:row>
          <xdr:rowOff>68580</xdr:rowOff>
        </xdr:from>
        <xdr:to>
          <xdr:col>7</xdr:col>
          <xdr:colOff>190500</xdr:colOff>
          <xdr:row>23</xdr:row>
          <xdr:rowOff>68580</xdr:rowOff>
        </xdr:to>
        <xdr:sp macro="" textlink="">
          <xdr:nvSpPr>
            <xdr:cNvPr id="25601" name="Object 1" hidden="1">
              <a:extLst>
                <a:ext uri="{63B3BB69-23CF-44E3-9099-C40C66FF867C}">
                  <a14:compatExt spid="_x0000_s25601"/>
                </a:ext>
                <a:ext uri="{FF2B5EF4-FFF2-40B4-BE49-F238E27FC236}">
                  <a16:creationId xmlns:a16="http://schemas.microsoft.com/office/drawing/2014/main" id="{00000000-0008-0000-4200-000001640000}"/>
                </a:ext>
              </a:extLst>
            </xdr:cNvPr>
            <xdr:cNvSpPr/>
          </xdr:nvSpPr>
          <xdr:spPr bwMode="auto">
            <a:xfrm>
              <a:off x="0" y="0"/>
              <a:ext cx="0" cy="0"/>
            </a:xfrm>
            <a:prstGeom prst="rect">
              <a:avLst/>
            </a:prstGeom>
            <a:solidFill>
              <a:srgbClr val="C0C0C0" mc:Ignorable="a14" a14:legacySpreadsheetColorIndex="22">
                <a:alpha val="2500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oneCellAnchor>
    <xdr:from>
      <xdr:col>0</xdr:col>
      <xdr:colOff>434340</xdr:colOff>
      <xdr:row>41</xdr:row>
      <xdr:rowOff>0</xdr:rowOff>
    </xdr:from>
    <xdr:ext cx="65" cy="172227"/>
    <xdr:sp macro="" textlink="">
      <xdr:nvSpPr>
        <xdr:cNvPr id="2" name="TextBox 1">
          <a:extLst>
            <a:ext uri="{FF2B5EF4-FFF2-40B4-BE49-F238E27FC236}">
              <a16:creationId xmlns:a16="http://schemas.microsoft.com/office/drawing/2014/main" id="{BF8ED571-F41C-4DFA-85EA-7FC6999114B8}"/>
            </a:ext>
          </a:extLst>
        </xdr:cNvPr>
        <xdr:cNvSpPr txBox="1"/>
      </xdr:nvSpPr>
      <xdr:spPr>
        <a:xfrm>
          <a:off x="438150" y="7419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41</xdr:row>
      <xdr:rowOff>0</xdr:rowOff>
    </xdr:from>
    <xdr:ext cx="65" cy="172227"/>
    <xdr:sp macro="" textlink="">
      <xdr:nvSpPr>
        <xdr:cNvPr id="3" name="TextBox 2">
          <a:extLst>
            <a:ext uri="{FF2B5EF4-FFF2-40B4-BE49-F238E27FC236}">
              <a16:creationId xmlns:a16="http://schemas.microsoft.com/office/drawing/2014/main" id="{EB1DE553-EF0B-4F77-9F23-A825AB32F499}"/>
            </a:ext>
          </a:extLst>
        </xdr:cNvPr>
        <xdr:cNvSpPr txBox="1"/>
      </xdr:nvSpPr>
      <xdr:spPr>
        <a:xfrm>
          <a:off x="438150" y="7419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68580</xdr:colOff>
      <xdr:row>40</xdr:row>
      <xdr:rowOff>179070</xdr:rowOff>
    </xdr:from>
    <xdr:to>
      <xdr:col>8</xdr:col>
      <xdr:colOff>114300</xdr:colOff>
      <xdr:row>54</xdr:row>
      <xdr:rowOff>87630</xdr:rowOff>
    </xdr:to>
    <xdr:graphicFrame macro="">
      <xdr:nvGraphicFramePr>
        <xdr:cNvPr id="2" name="Chart 1">
          <a:extLst>
            <a:ext uri="{FF2B5EF4-FFF2-40B4-BE49-F238E27FC236}">
              <a16:creationId xmlns:a16="http://schemas.microsoft.com/office/drawing/2014/main" id="{0D74817E-E87D-4EBA-BE2D-8E0121D05A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200025</xdr:colOff>
      <xdr:row>37</xdr:row>
      <xdr:rowOff>119062</xdr:rowOff>
    </xdr:from>
    <xdr:ext cx="65" cy="172227"/>
    <xdr:sp macro="" textlink="">
      <xdr:nvSpPr>
        <xdr:cNvPr id="2" name="TextBox 1">
          <a:extLst>
            <a:ext uri="{FF2B5EF4-FFF2-40B4-BE49-F238E27FC236}">
              <a16:creationId xmlns:a16="http://schemas.microsoft.com/office/drawing/2014/main" id="{B35507CD-C4C1-42DE-B711-BE8E29D89F32}"/>
            </a:ext>
          </a:extLst>
        </xdr:cNvPr>
        <xdr:cNvSpPr txBox="1"/>
      </xdr:nvSpPr>
      <xdr:spPr>
        <a:xfrm>
          <a:off x="8126730" y="68170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9</xdr:col>
      <xdr:colOff>244464</xdr:colOff>
      <xdr:row>46</xdr:row>
      <xdr:rowOff>14293</xdr:rowOff>
    </xdr:from>
    <xdr:to>
      <xdr:col>13</xdr:col>
      <xdr:colOff>885814</xdr:colOff>
      <xdr:row>60</xdr:row>
      <xdr:rowOff>196855</xdr:rowOff>
    </xdr:to>
    <xdr:graphicFrame macro="">
      <xdr:nvGraphicFramePr>
        <xdr:cNvPr id="2" name="Chart 1">
          <a:extLst>
            <a:ext uri="{FF2B5EF4-FFF2-40B4-BE49-F238E27FC236}">
              <a16:creationId xmlns:a16="http://schemas.microsoft.com/office/drawing/2014/main" id="{A3A71B60-22A3-4758-8587-AF16FF5C9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73</xdr:row>
      <xdr:rowOff>19051</xdr:rowOff>
    </xdr:from>
    <xdr:to>
      <xdr:col>10</xdr:col>
      <xdr:colOff>504825</xdr:colOff>
      <xdr:row>87</xdr:row>
      <xdr:rowOff>190501</xdr:rowOff>
    </xdr:to>
    <xdr:graphicFrame macro="">
      <xdr:nvGraphicFramePr>
        <xdr:cNvPr id="2" name="Chart 1">
          <a:extLst>
            <a:ext uri="{FF2B5EF4-FFF2-40B4-BE49-F238E27FC236}">
              <a16:creationId xmlns:a16="http://schemas.microsoft.com/office/drawing/2014/main" id="{668D66F5-BACE-44F9-ACA5-7BC2E0CE0E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285750</xdr:colOff>
      <xdr:row>18</xdr:row>
      <xdr:rowOff>9525</xdr:rowOff>
    </xdr:from>
    <xdr:to>
      <xdr:col>1</xdr:col>
      <xdr:colOff>438150</xdr:colOff>
      <xdr:row>18</xdr:row>
      <xdr:rowOff>190500</xdr:rowOff>
    </xdr:to>
    <xdr:pic>
      <xdr:nvPicPr>
        <xdr:cNvPr id="3" name="Picture 2">
          <a:extLst>
            <a:ext uri="{FF2B5EF4-FFF2-40B4-BE49-F238E27FC236}">
              <a16:creationId xmlns:a16="http://schemas.microsoft.com/office/drawing/2014/main" id="{E49B0EEE-1162-456F-AC3A-DD1B34B85B37}"/>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0590" y="3268980"/>
          <a:ext cx="152400" cy="169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685800</xdr:colOff>
          <xdr:row>42</xdr:row>
          <xdr:rowOff>167640</xdr:rowOff>
        </xdr:from>
        <xdr:to>
          <xdr:col>5</xdr:col>
          <xdr:colOff>495300</xdr:colOff>
          <xdr:row>44</xdr:row>
          <xdr:rowOff>7620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B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0</xdr:col>
      <xdr:colOff>434340</xdr:colOff>
      <xdr:row>7</xdr:row>
      <xdr:rowOff>6667</xdr:rowOff>
    </xdr:from>
    <xdr:ext cx="65" cy="172227"/>
    <xdr:sp macro="" textlink="">
      <xdr:nvSpPr>
        <xdr:cNvPr id="2" name="TextBox 1">
          <a:extLst>
            <a:ext uri="{FF2B5EF4-FFF2-40B4-BE49-F238E27FC236}">
              <a16:creationId xmlns:a16="http://schemas.microsoft.com/office/drawing/2014/main" id="{61933644-C962-4A82-80E4-00EF50983E1E}"/>
            </a:ext>
          </a:extLst>
        </xdr:cNvPr>
        <xdr:cNvSpPr txBox="1"/>
      </xdr:nvSpPr>
      <xdr:spPr>
        <a:xfrm>
          <a:off x="438150" y="12753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17</xdr:row>
      <xdr:rowOff>0</xdr:rowOff>
    </xdr:from>
    <xdr:ext cx="65" cy="172227"/>
    <xdr:sp macro="" textlink="">
      <xdr:nvSpPr>
        <xdr:cNvPr id="3" name="TextBox 2">
          <a:extLst>
            <a:ext uri="{FF2B5EF4-FFF2-40B4-BE49-F238E27FC236}">
              <a16:creationId xmlns:a16="http://schemas.microsoft.com/office/drawing/2014/main" id="{9AE2CF24-E5E7-4598-BE47-D8C8D2DF9230}"/>
            </a:ext>
          </a:extLst>
        </xdr:cNvPr>
        <xdr:cNvSpPr txBox="1"/>
      </xdr:nvSpPr>
      <xdr:spPr>
        <a:xfrm>
          <a:off x="438150"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17</xdr:row>
      <xdr:rowOff>0</xdr:rowOff>
    </xdr:from>
    <xdr:ext cx="65" cy="172227"/>
    <xdr:sp macro="" textlink="">
      <xdr:nvSpPr>
        <xdr:cNvPr id="4" name="TextBox 3">
          <a:extLst>
            <a:ext uri="{FF2B5EF4-FFF2-40B4-BE49-F238E27FC236}">
              <a16:creationId xmlns:a16="http://schemas.microsoft.com/office/drawing/2014/main" id="{C3F148EF-766E-46B4-8DC7-2E18B9BC1661}"/>
            </a:ext>
          </a:extLst>
        </xdr:cNvPr>
        <xdr:cNvSpPr txBox="1"/>
      </xdr:nvSpPr>
      <xdr:spPr>
        <a:xfrm>
          <a:off x="438150"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373380</xdr:colOff>
      <xdr:row>44</xdr:row>
      <xdr:rowOff>34290</xdr:rowOff>
    </xdr:from>
    <xdr:to>
      <xdr:col>7</xdr:col>
      <xdr:colOff>716280</xdr:colOff>
      <xdr:row>58</xdr:row>
      <xdr:rowOff>0</xdr:rowOff>
    </xdr:to>
    <xdr:graphicFrame macro="">
      <xdr:nvGraphicFramePr>
        <xdr:cNvPr id="5" name="Chart 4">
          <a:extLst>
            <a:ext uri="{FF2B5EF4-FFF2-40B4-BE49-F238E27FC236}">
              <a16:creationId xmlns:a16="http://schemas.microsoft.com/office/drawing/2014/main" id="{588E509A-EFCF-4481-B762-27A88A0AF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238125</xdr:colOff>
      <xdr:row>43</xdr:row>
      <xdr:rowOff>196360</xdr:rowOff>
    </xdr:from>
    <xdr:to>
      <xdr:col>16</xdr:col>
      <xdr:colOff>457932</xdr:colOff>
      <xdr:row>57</xdr:row>
      <xdr:rowOff>169983</xdr:rowOff>
    </xdr:to>
    <xdr:graphicFrame macro="">
      <xdr:nvGraphicFramePr>
        <xdr:cNvPr id="6" name="Chart 5">
          <a:extLst>
            <a:ext uri="{FF2B5EF4-FFF2-40B4-BE49-F238E27FC236}">
              <a16:creationId xmlns:a16="http://schemas.microsoft.com/office/drawing/2014/main" id="{4E3A8FE2-7261-4664-AF46-15646CBB6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172182</xdr:colOff>
      <xdr:row>44</xdr:row>
      <xdr:rowOff>20515</xdr:rowOff>
    </xdr:from>
    <xdr:to>
      <xdr:col>26</xdr:col>
      <xdr:colOff>32971</xdr:colOff>
      <xdr:row>57</xdr:row>
      <xdr:rowOff>191965</xdr:rowOff>
    </xdr:to>
    <xdr:graphicFrame macro="">
      <xdr:nvGraphicFramePr>
        <xdr:cNvPr id="7" name="Chart 6">
          <a:extLst>
            <a:ext uri="{FF2B5EF4-FFF2-40B4-BE49-F238E27FC236}">
              <a16:creationId xmlns:a16="http://schemas.microsoft.com/office/drawing/2014/main" id="{D1F12EFB-C065-4CBC-9A49-3F2ED0517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304067</xdr:colOff>
      <xdr:row>64</xdr:row>
      <xdr:rowOff>13188</xdr:rowOff>
    </xdr:from>
    <xdr:to>
      <xdr:col>7</xdr:col>
      <xdr:colOff>663086</xdr:colOff>
      <xdr:row>77</xdr:row>
      <xdr:rowOff>184638</xdr:rowOff>
    </xdr:to>
    <xdr:graphicFrame macro="">
      <xdr:nvGraphicFramePr>
        <xdr:cNvPr id="8" name="Chart 7">
          <a:extLst>
            <a:ext uri="{FF2B5EF4-FFF2-40B4-BE49-F238E27FC236}">
              <a16:creationId xmlns:a16="http://schemas.microsoft.com/office/drawing/2014/main" id="{AB4D8FF6-738C-4DD6-9F98-4C7E428EB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142875</xdr:colOff>
      <xdr:row>64</xdr:row>
      <xdr:rowOff>27843</xdr:rowOff>
    </xdr:from>
    <xdr:to>
      <xdr:col>16</xdr:col>
      <xdr:colOff>362682</xdr:colOff>
      <xdr:row>78</xdr:row>
      <xdr:rowOff>1466</xdr:rowOff>
    </xdr:to>
    <xdr:graphicFrame macro="">
      <xdr:nvGraphicFramePr>
        <xdr:cNvPr id="9" name="Chart 8">
          <a:extLst>
            <a:ext uri="{FF2B5EF4-FFF2-40B4-BE49-F238E27FC236}">
              <a16:creationId xmlns:a16="http://schemas.microsoft.com/office/drawing/2014/main" id="{05D7C931-8B16-447F-A8CA-56431E001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223471</xdr:colOff>
      <xdr:row>63</xdr:row>
      <xdr:rowOff>181708</xdr:rowOff>
    </xdr:from>
    <xdr:to>
      <xdr:col>26</xdr:col>
      <xdr:colOff>84260</xdr:colOff>
      <xdr:row>77</xdr:row>
      <xdr:rowOff>155331</xdr:rowOff>
    </xdr:to>
    <xdr:graphicFrame macro="">
      <xdr:nvGraphicFramePr>
        <xdr:cNvPr id="10" name="Chart 9">
          <a:extLst>
            <a:ext uri="{FF2B5EF4-FFF2-40B4-BE49-F238E27FC236}">
              <a16:creationId xmlns:a16="http://schemas.microsoft.com/office/drawing/2014/main" id="{5F7A254A-B90A-4355-888C-6CD6C20DC4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1906</xdr:colOff>
      <xdr:row>43</xdr:row>
      <xdr:rowOff>24765</xdr:rowOff>
    </xdr:from>
    <xdr:to>
      <xdr:col>5</xdr:col>
      <xdr:colOff>19051</xdr:colOff>
      <xdr:row>52</xdr:row>
      <xdr:rowOff>57150</xdr:rowOff>
    </xdr:to>
    <xdr:graphicFrame macro="">
      <xdr:nvGraphicFramePr>
        <xdr:cNvPr id="2" name="Chart 1">
          <a:extLst>
            <a:ext uri="{FF2B5EF4-FFF2-40B4-BE49-F238E27FC236}">
              <a16:creationId xmlns:a16="http://schemas.microsoft.com/office/drawing/2014/main" id="{2A4A627F-1123-415F-94C6-5196D435E9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55</xdr:row>
      <xdr:rowOff>0</xdr:rowOff>
    </xdr:from>
    <xdr:to>
      <xdr:col>5</xdr:col>
      <xdr:colOff>19051</xdr:colOff>
      <xdr:row>64</xdr:row>
      <xdr:rowOff>83439</xdr:rowOff>
    </xdr:to>
    <xdr:graphicFrame macro="">
      <xdr:nvGraphicFramePr>
        <xdr:cNvPr id="3" name="Chart 2">
          <a:extLst>
            <a:ext uri="{FF2B5EF4-FFF2-40B4-BE49-F238E27FC236}">
              <a16:creationId xmlns:a16="http://schemas.microsoft.com/office/drawing/2014/main" id="{7AD1F436-1AC8-4E5D-BBFA-ED0E04C03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67</xdr:row>
      <xdr:rowOff>0</xdr:rowOff>
    </xdr:from>
    <xdr:to>
      <xdr:col>5</xdr:col>
      <xdr:colOff>17907</xdr:colOff>
      <xdr:row>76</xdr:row>
      <xdr:rowOff>85344</xdr:rowOff>
    </xdr:to>
    <xdr:graphicFrame macro="">
      <xdr:nvGraphicFramePr>
        <xdr:cNvPr id="4" name="Chart 3">
          <a:extLst>
            <a:ext uri="{FF2B5EF4-FFF2-40B4-BE49-F238E27FC236}">
              <a16:creationId xmlns:a16="http://schemas.microsoft.com/office/drawing/2014/main" id="{A0AAF700-408C-4D44-BDAC-A71977E581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228600</xdr:colOff>
          <xdr:row>22</xdr:row>
          <xdr:rowOff>7620</xdr:rowOff>
        </xdr:from>
        <xdr:to>
          <xdr:col>0</xdr:col>
          <xdr:colOff>449580</xdr:colOff>
          <xdr:row>23</xdr:row>
          <xdr:rowOff>22860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E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685800</xdr:colOff>
          <xdr:row>26</xdr:row>
          <xdr:rowOff>0</xdr:rowOff>
        </xdr:from>
        <xdr:to>
          <xdr:col>4</xdr:col>
          <xdr:colOff>426720</xdr:colOff>
          <xdr:row>27</xdr:row>
          <xdr:rowOff>38100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E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23</xdr:row>
          <xdr:rowOff>7620</xdr:rowOff>
        </xdr:from>
        <xdr:to>
          <xdr:col>0</xdr:col>
          <xdr:colOff>670560</xdr:colOff>
          <xdr:row>24</xdr:row>
          <xdr:rowOff>22860</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E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24</xdr:row>
          <xdr:rowOff>7620</xdr:rowOff>
        </xdr:from>
        <xdr:to>
          <xdr:col>0</xdr:col>
          <xdr:colOff>640080</xdr:colOff>
          <xdr:row>24</xdr:row>
          <xdr:rowOff>411480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E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giadv-fall-2023-solutions.xlsx" TargetMode="External"/><Relationship Id="rId1" Type="http://schemas.openxmlformats.org/officeDocument/2006/relationships/externalLinkPath" Target="giadv-fall-2023-solution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ADV%20files\giadv-fall-2023-solutions.xlsx" TargetMode="External"/><Relationship Id="rId1" Type="http://schemas.openxmlformats.org/officeDocument/2006/relationships/externalLinkPath" Target="ADV%20files/giadv-fall-2023-solution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ADV%20files\spring-2023-solutions-giadv.xlsx" TargetMode="External"/><Relationship Id="rId1" Type="http://schemas.openxmlformats.org/officeDocument/2006/relationships/externalLinkPath" Target="ADV%20files/spring-2023-solutions-giadv.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RR%20files\fall-2021-exam-girr-excel-solution.xlsx" TargetMode="External"/><Relationship Id="rId1" Type="http://schemas.openxmlformats.org/officeDocument/2006/relationships/externalLinkPath" Target="RR%20files/fall-2021-exam-girr-excel-solu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2"/>
      <sheetName val="Q3"/>
      <sheetName val="Q4"/>
      <sheetName val="Q5"/>
      <sheetName val="Q6"/>
      <sheetName val="Q7"/>
      <sheetName val="Q8"/>
      <sheetName val="Q9"/>
      <sheetName val="Q10"/>
      <sheetName val="Q11"/>
      <sheetName val="Q12"/>
      <sheetName val="Q13"/>
      <sheetName val="Sheet2"/>
      <sheetName val="Q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1"/>
      <sheetName val="Question 2"/>
      <sheetName val="Question 3"/>
      <sheetName val="Question 4"/>
      <sheetName val="Question 5"/>
      <sheetName val="Question 6"/>
      <sheetName val="Question 7"/>
      <sheetName val="Question 8"/>
      <sheetName val="Question 9"/>
      <sheetName val="Question 10"/>
      <sheetName val="Question 11"/>
      <sheetName val="Question 12"/>
      <sheetName val="Question 13"/>
      <sheetName val="Question 14"/>
      <sheetName val="Question 15"/>
      <sheetName val="Question 16"/>
      <sheetName val="Question 17"/>
      <sheetName val="Question 18"/>
      <sheetName val="Question 19"/>
      <sheetName val="Question 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oleObject" Target="../embeddings/oleObject3.bin"/><Relationship Id="rId11" Type="http://schemas.openxmlformats.org/officeDocument/2006/relationships/image" Target="../media/image7.emf"/><Relationship Id="rId5" Type="http://schemas.openxmlformats.org/officeDocument/2006/relationships/image" Target="../media/image4.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6.emf"/></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31.bin"/><Relationship Id="rId5" Type="http://schemas.openxmlformats.org/officeDocument/2006/relationships/image" Target="../media/image8.wmf"/><Relationship Id="rId4" Type="http://schemas.openxmlformats.org/officeDocument/2006/relationships/oleObject" Target="../embeddings/oleObject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4.vml"/><Relationship Id="rId7" Type="http://schemas.openxmlformats.org/officeDocument/2006/relationships/image" Target="../media/image10.wmf"/><Relationship Id="rId2" Type="http://schemas.openxmlformats.org/officeDocument/2006/relationships/drawing" Target="../drawings/drawing11.xml"/><Relationship Id="rId1" Type="http://schemas.openxmlformats.org/officeDocument/2006/relationships/printerSettings" Target="../printerSettings/printerSettings40.bin"/><Relationship Id="rId6" Type="http://schemas.openxmlformats.org/officeDocument/2006/relationships/oleObject" Target="../embeddings/oleObject8.bin"/><Relationship Id="rId5" Type="http://schemas.openxmlformats.org/officeDocument/2006/relationships/image" Target="../media/image9.wmf"/><Relationship Id="rId4" Type="http://schemas.openxmlformats.org/officeDocument/2006/relationships/oleObject" Target="../embeddings/oleObject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51.bin"/><Relationship Id="rId5" Type="http://schemas.openxmlformats.org/officeDocument/2006/relationships/image" Target="../media/image11.emf"/><Relationship Id="rId4" Type="http://schemas.openxmlformats.org/officeDocument/2006/relationships/package" Target="../embeddings/Microsoft_Word_Document.docx"/></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4CB2-2AEE-4CA4-A33B-33FFD091EA9B}">
  <sheetPr>
    <tabColor rgb="FF0070C0"/>
    <pageSetUpPr autoPageBreaks="0"/>
  </sheetPr>
  <dimension ref="A6:K21"/>
  <sheetViews>
    <sheetView showGridLines="0" tabSelected="1" zoomScale="115" zoomScaleNormal="115" workbookViewId="0"/>
  </sheetViews>
  <sheetFormatPr defaultRowHeight="14.4"/>
  <cols>
    <col min="1" max="16384" width="8.88671875" style="1644"/>
  </cols>
  <sheetData>
    <row r="6" spans="1:10" ht="33.6">
      <c r="A6" s="1653" t="s">
        <v>2839</v>
      </c>
      <c r="B6" s="1653"/>
      <c r="C6" s="1653"/>
      <c r="D6" s="1653"/>
      <c r="E6" s="1653"/>
      <c r="F6" s="1653"/>
      <c r="G6" s="1653"/>
      <c r="H6" s="1653"/>
      <c r="I6" s="1653"/>
      <c r="J6" s="1653"/>
    </row>
    <row r="7" spans="1:10" ht="6" customHeight="1">
      <c r="A7" s="1645"/>
      <c r="B7" s="1645"/>
      <c r="C7" s="1645"/>
      <c r="D7" s="1645"/>
      <c r="E7" s="1645"/>
      <c r="F7" s="1645"/>
      <c r="G7" s="1645"/>
      <c r="H7" s="1645"/>
      <c r="I7" s="1645"/>
      <c r="J7" s="1645"/>
    </row>
    <row r="8" spans="1:10" ht="21">
      <c r="A8" s="1654" t="s">
        <v>2829</v>
      </c>
      <c r="B8" s="1654"/>
      <c r="C8" s="1654"/>
      <c r="D8" s="1654"/>
      <c r="E8" s="1654"/>
      <c r="F8" s="1654"/>
      <c r="G8" s="1654"/>
      <c r="H8" s="1654"/>
      <c r="I8" s="1654"/>
      <c r="J8" s="1654"/>
    </row>
    <row r="10" spans="1:10" ht="75" customHeight="1">
      <c r="A10" s="1646" t="s">
        <v>2830</v>
      </c>
      <c r="B10" s="1649" t="s">
        <v>2831</v>
      </c>
      <c r="C10" s="1649"/>
      <c r="D10" s="1649"/>
      <c r="E10" s="1649"/>
      <c r="F10" s="1649"/>
      <c r="G10" s="1649"/>
      <c r="H10" s="1649"/>
      <c r="I10" s="1649"/>
      <c r="J10" s="1649"/>
    </row>
    <row r="11" spans="1:10">
      <c r="B11" s="1647"/>
      <c r="C11" s="1647"/>
      <c r="D11" s="1647"/>
      <c r="E11" s="1647"/>
      <c r="F11" s="1647"/>
      <c r="G11" s="1647"/>
      <c r="H11" s="1647"/>
      <c r="I11" s="1647"/>
      <c r="J11" s="1647"/>
    </row>
    <row r="12" spans="1:10" ht="45" customHeight="1">
      <c r="A12" s="1646" t="s">
        <v>2830</v>
      </c>
      <c r="B12" s="1649" t="s">
        <v>2832</v>
      </c>
      <c r="C12" s="1649"/>
      <c r="D12" s="1649"/>
      <c r="E12" s="1649"/>
      <c r="F12" s="1649"/>
      <c r="G12" s="1649"/>
      <c r="H12" s="1649"/>
      <c r="I12" s="1649"/>
      <c r="J12" s="1649"/>
    </row>
    <row r="13" spans="1:10">
      <c r="B13" s="1647"/>
      <c r="C13" s="1647"/>
      <c r="D13" s="1647"/>
      <c r="E13" s="1647"/>
      <c r="F13" s="1647"/>
      <c r="G13" s="1647"/>
      <c r="H13" s="1647"/>
      <c r="I13" s="1647"/>
      <c r="J13" s="1647"/>
    </row>
    <row r="14" spans="1:10" ht="45.6" customHeight="1">
      <c r="A14" s="1646" t="s">
        <v>2830</v>
      </c>
      <c r="B14" s="1649" t="s">
        <v>2833</v>
      </c>
      <c r="C14" s="1649"/>
      <c r="D14" s="1649"/>
      <c r="E14" s="1649"/>
      <c r="F14" s="1649"/>
      <c r="G14" s="1649"/>
      <c r="H14" s="1649"/>
      <c r="I14" s="1649"/>
      <c r="J14" s="1649"/>
    </row>
    <row r="15" spans="1:10">
      <c r="B15" s="1647"/>
      <c r="C15" s="1647"/>
      <c r="D15" s="1647"/>
      <c r="E15" s="1647"/>
      <c r="F15" s="1647"/>
      <c r="G15" s="1647"/>
      <c r="H15" s="1647"/>
      <c r="I15" s="1647"/>
      <c r="J15" s="1647"/>
    </row>
    <row r="16" spans="1:10" ht="72.599999999999994" customHeight="1">
      <c r="A16" s="1646" t="s">
        <v>2830</v>
      </c>
      <c r="B16" s="1649" t="s">
        <v>2834</v>
      </c>
      <c r="C16" s="1649"/>
      <c r="D16" s="1649"/>
      <c r="E16" s="1649"/>
      <c r="F16" s="1649"/>
      <c r="G16" s="1649"/>
      <c r="H16" s="1649"/>
      <c r="I16" s="1649"/>
      <c r="J16" s="1649"/>
    </row>
    <row r="17" spans="1:11">
      <c r="B17" s="1647"/>
      <c r="C17" s="1647"/>
      <c r="D17" s="1647"/>
      <c r="E17" s="1647"/>
      <c r="F17" s="1647"/>
      <c r="G17" s="1647"/>
      <c r="H17" s="1647"/>
      <c r="I17" s="1647"/>
      <c r="J17" s="1647"/>
      <c r="K17" s="1648"/>
    </row>
    <row r="18" spans="1:11" ht="44.4" customHeight="1">
      <c r="A18" s="1646" t="s">
        <v>2830</v>
      </c>
      <c r="B18" s="1649" t="s">
        <v>2835</v>
      </c>
      <c r="C18" s="1649"/>
      <c r="D18" s="1649"/>
      <c r="E18" s="1649"/>
      <c r="F18" s="1649"/>
      <c r="G18" s="1649"/>
      <c r="H18" s="1649"/>
      <c r="I18" s="1649"/>
      <c r="J18" s="1649"/>
    </row>
    <row r="21" spans="1:11">
      <c r="B21" s="1650" t="s">
        <v>2836</v>
      </c>
      <c r="C21" s="1650"/>
      <c r="D21" s="1651" t="s">
        <v>2837</v>
      </c>
      <c r="E21" s="1651"/>
      <c r="F21" s="1651"/>
      <c r="G21" s="1651"/>
      <c r="H21" s="1652" t="s">
        <v>2838</v>
      </c>
      <c r="I21" s="1652"/>
      <c r="J21" s="1652"/>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B0A96-92CB-472D-B335-B17B691BE278}">
  <dimension ref="A1:BW273"/>
  <sheetViews>
    <sheetView zoomScaleNormal="100" workbookViewId="0"/>
  </sheetViews>
  <sheetFormatPr defaultColWidth="9.109375" defaultRowHeight="15.6"/>
  <cols>
    <col min="1" max="1" width="11.44140625" style="1" customWidth="1"/>
    <col min="2" max="10" width="10.6640625" style="1" customWidth="1"/>
    <col min="11" max="11" width="12.77734375" style="1" customWidth="1"/>
    <col min="12" max="12" width="11.77734375" style="1" customWidth="1"/>
    <col min="13" max="13" width="9.109375" style="37" customWidth="1"/>
    <col min="14" max="42" width="9.109375" style="37"/>
    <col min="76" max="16384" width="9.109375" style="1"/>
  </cols>
  <sheetData>
    <row r="1" spans="1:14" ht="15.75" customHeight="1">
      <c r="A1" s="23" t="s">
        <v>61</v>
      </c>
      <c r="B1" s="22"/>
      <c r="C1" s="5" t="s">
        <v>38</v>
      </c>
      <c r="D1" s="22"/>
      <c r="E1" s="22"/>
      <c r="F1" s="22"/>
      <c r="G1" s="22"/>
      <c r="H1" s="22"/>
      <c r="I1" s="22"/>
      <c r="J1" s="22"/>
      <c r="K1" s="22"/>
      <c r="L1" s="2"/>
    </row>
    <row r="2" spans="1:14" ht="15.75" customHeight="1">
      <c r="A2" s="261" t="s">
        <v>264</v>
      </c>
      <c r="B2" s="137"/>
      <c r="C2" s="137"/>
      <c r="D2" s="137"/>
      <c r="E2" s="21"/>
      <c r="F2" s="21"/>
      <c r="G2" s="21"/>
      <c r="H2" s="21"/>
      <c r="I2" s="136"/>
      <c r="J2" s="3"/>
      <c r="K2" s="3"/>
      <c r="L2" s="2"/>
    </row>
    <row r="3" spans="1:14" ht="30.75" customHeight="1">
      <c r="A3" s="1670" t="s">
        <v>60</v>
      </c>
      <c r="B3" s="1670"/>
      <c r="C3" s="1670"/>
      <c r="D3" s="1670"/>
      <c r="E3" s="1670"/>
      <c r="F3" s="1670"/>
      <c r="G3" s="1670"/>
      <c r="H3" s="1670"/>
      <c r="I3" s="1670"/>
      <c r="J3" s="1670"/>
      <c r="K3" s="1670"/>
      <c r="L3" s="1670"/>
    </row>
    <row r="4" spans="1:14" ht="15.75" customHeight="1">
      <c r="A4" s="21"/>
      <c r="B4" s="3"/>
      <c r="C4" s="3"/>
      <c r="D4" s="3"/>
      <c r="E4" s="3"/>
      <c r="F4" s="3"/>
      <c r="G4" s="3"/>
      <c r="H4" s="3"/>
      <c r="I4" s="3"/>
      <c r="J4" s="3"/>
      <c r="K4" s="3"/>
      <c r="L4" s="2"/>
    </row>
    <row r="5" spans="1:14" ht="15.75" customHeight="1">
      <c r="A5" s="21" t="s">
        <v>263</v>
      </c>
      <c r="B5" s="3"/>
      <c r="C5" s="3"/>
      <c r="D5" s="3"/>
      <c r="E5" s="3"/>
      <c r="F5" s="3"/>
      <c r="G5" s="3"/>
      <c r="H5" s="3"/>
      <c r="I5" s="3"/>
      <c r="J5" s="3"/>
      <c r="K5" s="3"/>
      <c r="L5" s="2"/>
    </row>
    <row r="6" spans="1:14" ht="15.75" customHeight="1">
      <c r="A6" s="21"/>
      <c r="B6" s="3"/>
      <c r="C6" s="3"/>
      <c r="D6" s="3"/>
      <c r="E6" s="3"/>
      <c r="F6" s="3"/>
      <c r="G6" s="3"/>
      <c r="H6" s="3"/>
      <c r="I6" s="3"/>
      <c r="J6" s="3"/>
      <c r="K6" s="3"/>
      <c r="L6" s="2"/>
    </row>
    <row r="7" spans="1:14" ht="15.75" customHeight="1">
      <c r="A7" s="3"/>
      <c r="B7" s="134"/>
      <c r="C7" s="1671" t="s">
        <v>49</v>
      </c>
      <c r="D7" s="1671"/>
      <c r="E7" s="1671"/>
      <c r="F7" s="1671"/>
      <c r="G7" s="1671"/>
      <c r="H7" s="1671"/>
      <c r="I7" s="1671"/>
      <c r="J7" s="260"/>
      <c r="K7" s="259" t="s">
        <v>262</v>
      </c>
      <c r="L7" s="2"/>
    </row>
    <row r="8" spans="1:14" ht="15.75" customHeight="1">
      <c r="A8" s="3"/>
      <c r="B8" s="134" t="s">
        <v>47</v>
      </c>
      <c r="C8" s="134">
        <v>1</v>
      </c>
      <c r="D8" s="134">
        <v>2</v>
      </c>
      <c r="E8" s="134">
        <v>3</v>
      </c>
      <c r="F8" s="134">
        <v>4</v>
      </c>
      <c r="G8" s="134">
        <v>5</v>
      </c>
      <c r="H8" s="134">
        <v>6</v>
      </c>
      <c r="I8" s="134">
        <v>7</v>
      </c>
      <c r="J8" s="258" t="s">
        <v>99</v>
      </c>
      <c r="K8" s="258" t="s">
        <v>261</v>
      </c>
      <c r="L8" s="2"/>
      <c r="N8"/>
    </row>
    <row r="9" spans="1:14" ht="15.75" customHeight="1">
      <c r="A9" s="3"/>
      <c r="B9" s="133">
        <v>1</v>
      </c>
      <c r="C9" s="132">
        <v>2089</v>
      </c>
      <c r="D9" s="132">
        <v>7443</v>
      </c>
      <c r="E9" s="132">
        <v>12056</v>
      </c>
      <c r="F9" s="132">
        <v>14891</v>
      </c>
      <c r="G9" s="132">
        <v>17770</v>
      </c>
      <c r="H9" s="132">
        <v>19852</v>
      </c>
      <c r="I9" s="132">
        <v>20727</v>
      </c>
      <c r="J9" s="10">
        <v>0</v>
      </c>
      <c r="K9" s="10">
        <v>0</v>
      </c>
      <c r="L9" s="2"/>
    </row>
    <row r="10" spans="1:14" ht="15.75" customHeight="1">
      <c r="A10" s="3"/>
      <c r="B10" s="133">
        <v>2</v>
      </c>
      <c r="C10" s="132">
        <v>3096</v>
      </c>
      <c r="D10" s="132">
        <v>9116</v>
      </c>
      <c r="E10" s="132">
        <v>11930</v>
      </c>
      <c r="F10" s="132">
        <v>16779</v>
      </c>
      <c r="G10" s="132">
        <v>18552</v>
      </c>
      <c r="H10" s="132">
        <v>20232</v>
      </c>
      <c r="I10" s="131"/>
      <c r="J10" s="10">
        <v>891.74894217207475</v>
      </c>
      <c r="K10" s="10">
        <v>197.5204984295564</v>
      </c>
      <c r="L10" s="2"/>
    </row>
    <row r="11" spans="1:14" ht="15.75" customHeight="1">
      <c r="A11" s="3"/>
      <c r="B11" s="133">
        <v>3</v>
      </c>
      <c r="C11" s="132">
        <v>2382</v>
      </c>
      <c r="D11" s="132">
        <v>8774</v>
      </c>
      <c r="E11" s="132">
        <v>11820</v>
      </c>
      <c r="F11" s="132">
        <v>16451</v>
      </c>
      <c r="G11" s="132">
        <v>18064</v>
      </c>
      <c r="H11" s="131"/>
      <c r="I11" s="131"/>
      <c r="J11" s="10">
        <v>2749.6096275369346</v>
      </c>
      <c r="K11" s="10">
        <v>477.08921793098784</v>
      </c>
      <c r="L11" s="2"/>
    </row>
    <row r="12" spans="1:14" ht="15.75" customHeight="1">
      <c r="A12" s="3"/>
      <c r="B12" s="133">
        <v>4</v>
      </c>
      <c r="C12" s="132">
        <v>1899</v>
      </c>
      <c r="D12" s="132">
        <v>7537</v>
      </c>
      <c r="E12" s="132">
        <v>12697</v>
      </c>
      <c r="F12" s="132">
        <v>16974</v>
      </c>
      <c r="G12" s="131"/>
      <c r="H12" s="131"/>
      <c r="I12" s="131"/>
      <c r="J12" s="10">
        <v>5129.9633914972837</v>
      </c>
      <c r="K12" s="10">
        <v>1251.0044037145599</v>
      </c>
      <c r="L12" s="2"/>
    </row>
    <row r="13" spans="1:14" ht="15.75" customHeight="1">
      <c r="A13" s="3"/>
      <c r="B13" s="133">
        <v>5</v>
      </c>
      <c r="C13" s="132">
        <v>1538</v>
      </c>
      <c r="D13" s="132">
        <v>6670</v>
      </c>
      <c r="E13" s="132">
        <v>9658</v>
      </c>
      <c r="F13" s="257">
        <f>E13*E18</f>
        <v>12961.827309650949</v>
      </c>
      <c r="G13" s="257">
        <f>F13*F18</f>
        <v>14649.361818388574</v>
      </c>
      <c r="H13" s="257">
        <f>G13*G18</f>
        <v>16166.648838948506</v>
      </c>
      <c r="I13" s="257">
        <f>H13*H18</f>
        <v>16879.212698211046</v>
      </c>
      <c r="J13" s="10">
        <v>7221.2126982110458</v>
      </c>
      <c r="K13" s="10">
        <v>1592.4424687065825</v>
      </c>
      <c r="L13" s="2"/>
    </row>
    <row r="14" spans="1:14" ht="15.75" customHeight="1">
      <c r="A14" s="3"/>
      <c r="B14" s="133">
        <v>6</v>
      </c>
      <c r="C14" s="132">
        <v>1928</v>
      </c>
      <c r="D14" s="132">
        <v>7197</v>
      </c>
      <c r="E14" s="131"/>
      <c r="F14" s="131"/>
      <c r="G14" s="131"/>
      <c r="H14" s="131"/>
      <c r="I14" s="131"/>
      <c r="J14" s="10">
        <v>11304.70224946451</v>
      </c>
      <c r="K14" s="10">
        <v>2931.3633311177678</v>
      </c>
      <c r="L14" s="2"/>
    </row>
    <row r="15" spans="1:14" ht="15.75" customHeight="1">
      <c r="A15" s="3"/>
      <c r="B15" s="133">
        <v>7</v>
      </c>
      <c r="C15" s="132">
        <v>2579</v>
      </c>
      <c r="D15" s="131"/>
      <c r="E15" s="131"/>
      <c r="F15" s="131"/>
      <c r="G15" s="131"/>
      <c r="H15" s="131"/>
      <c r="I15" s="131"/>
      <c r="J15" s="10">
        <v>21382.095111970793</v>
      </c>
      <c r="K15" s="10">
        <v>4670.2594218578333</v>
      </c>
      <c r="L15" s="2"/>
    </row>
    <row r="16" spans="1:14" ht="15.75" customHeight="1">
      <c r="A16" s="3"/>
      <c r="B16" s="133" t="s">
        <v>240</v>
      </c>
      <c r="C16" s="132"/>
      <c r="D16" s="131"/>
      <c r="E16" s="131"/>
      <c r="F16" s="131"/>
      <c r="G16" s="131"/>
      <c r="H16" s="131"/>
      <c r="I16" s="131"/>
      <c r="J16" s="10">
        <v>48679.332020852642</v>
      </c>
      <c r="K16" s="10">
        <v>6650.9695118744767</v>
      </c>
      <c r="L16" s="2"/>
    </row>
    <row r="17" spans="1:12" ht="15.75" customHeight="1">
      <c r="A17" s="3"/>
      <c r="B17" s="133"/>
      <c r="C17" s="132"/>
      <c r="D17" s="131"/>
      <c r="E17" s="131"/>
      <c r="F17" s="131"/>
      <c r="G17" s="131"/>
      <c r="H17" s="131"/>
      <c r="I17" s="131"/>
      <c r="J17" s="6"/>
      <c r="K17" s="6"/>
      <c r="L17" s="2"/>
    </row>
    <row r="18" spans="1:12" ht="18" customHeight="1">
      <c r="A18" s="3"/>
      <c r="B18" s="256" t="s">
        <v>260</v>
      </c>
      <c r="C18" s="255">
        <v>3.6140581503247757</v>
      </c>
      <c r="D18" s="254">
        <v>1.4709408194233689</v>
      </c>
      <c r="E18" s="254">
        <v>1.3420819330763045</v>
      </c>
      <c r="F18" s="254">
        <v>1.1301926393882089</v>
      </c>
      <c r="G18" s="254">
        <v>1.1035735917625682</v>
      </c>
      <c r="H18" s="254">
        <v>1.0440761636107194</v>
      </c>
      <c r="I18" s="131"/>
      <c r="J18" s="6"/>
      <c r="K18" s="6"/>
      <c r="L18" s="2"/>
    </row>
    <row r="19" spans="1:12" ht="18" customHeight="1">
      <c r="A19" s="3"/>
      <c r="B19" s="253"/>
      <c r="C19" s="252">
        <v>494.9760191401175</v>
      </c>
      <c r="D19" s="251">
        <v>221.73762505481935</v>
      </c>
      <c r="E19" s="251">
        <v>72.279980447768892</v>
      </c>
      <c r="F19" s="251">
        <v>43.232800912405246</v>
      </c>
      <c r="G19" s="251">
        <v>6.4256350786528653</v>
      </c>
      <c r="H19" s="251">
        <v>0.95503380055504994</v>
      </c>
      <c r="I19" s="131"/>
      <c r="J19" s="6"/>
      <c r="K19" s="6"/>
      <c r="L19" s="2"/>
    </row>
    <row r="20" spans="1:12" ht="15.75" customHeight="1">
      <c r="A20" s="3"/>
      <c r="B20" s="250"/>
      <c r="C20" s="249"/>
      <c r="D20" s="248"/>
      <c r="E20" s="248"/>
      <c r="F20" s="248"/>
      <c r="G20" s="248"/>
      <c r="H20" s="248"/>
      <c r="I20" s="248"/>
      <c r="J20" s="3"/>
      <c r="K20" s="3"/>
      <c r="L20" s="2"/>
    </row>
    <row r="21" spans="1:12" ht="15.75" customHeight="1">
      <c r="A21" s="3" t="s">
        <v>80</v>
      </c>
      <c r="B21" s="3" t="s">
        <v>259</v>
      </c>
      <c r="C21" s="3"/>
      <c r="D21" s="3"/>
      <c r="E21" s="3"/>
      <c r="F21" s="3"/>
      <c r="G21" s="3"/>
      <c r="H21" s="3"/>
      <c r="I21" s="3"/>
      <c r="J21" s="3"/>
      <c r="K21" s="3"/>
      <c r="L21" s="2"/>
    </row>
    <row r="22" spans="1:12" ht="15.75" customHeight="1">
      <c r="A22" s="5"/>
      <c r="B22" s="5" t="s">
        <v>64</v>
      </c>
      <c r="C22" s="3"/>
      <c r="D22" s="3"/>
      <c r="E22" s="3"/>
      <c r="F22" s="156"/>
      <c r="G22" s="156"/>
      <c r="H22" s="156"/>
      <c r="I22" s="156"/>
      <c r="J22" s="156"/>
      <c r="K22" s="156"/>
      <c r="L22" s="2"/>
    </row>
    <row r="23" spans="1:12" s="37" customFormat="1" ht="15.75" customHeight="1">
      <c r="F23" s="190"/>
      <c r="G23" s="190"/>
      <c r="H23" s="190"/>
      <c r="I23" s="190"/>
      <c r="J23" s="190"/>
      <c r="K23" s="190"/>
    </row>
    <row r="24" spans="1:12" s="37" customFormat="1" ht="15.75" customHeight="1">
      <c r="C24" s="11" t="s">
        <v>258</v>
      </c>
      <c r="D24" s="247" t="s">
        <v>257</v>
      </c>
      <c r="E24" s="246" t="s">
        <v>256</v>
      </c>
      <c r="F24" s="190"/>
      <c r="G24" s="190"/>
      <c r="H24" s="190"/>
      <c r="I24" s="190"/>
      <c r="J24" s="190"/>
      <c r="K24" s="190"/>
    </row>
    <row r="25" spans="1:12" s="37" customFormat="1" ht="15.75" customHeight="1">
      <c r="B25" s="245" t="s">
        <v>255</v>
      </c>
      <c r="C25" s="10">
        <f>J13</f>
        <v>7221.2126982110458</v>
      </c>
      <c r="D25" s="244">
        <f>I13-E13</f>
        <v>7221.2126982110458</v>
      </c>
      <c r="E25" s="243">
        <f>C25-D25</f>
        <v>0</v>
      </c>
      <c r="F25" s="190"/>
      <c r="G25" s="190"/>
      <c r="H25" s="190"/>
      <c r="I25" s="190"/>
      <c r="J25" s="190"/>
      <c r="K25" s="190"/>
    </row>
    <row r="26" spans="1:12" s="37" customFormat="1" ht="15.75" customHeight="1">
      <c r="B26" s="245" t="s">
        <v>254</v>
      </c>
      <c r="C26" s="10">
        <f>K13</f>
        <v>1592.4424687065825</v>
      </c>
      <c r="D26" s="244">
        <f>(I13^2*((E19/E18^2)*(1/E13+1/SUM(E9:E12))+(F19/F18^2)*(1/F13+1/SUM(F9:F11))+(G19/G18^2)*(1/G13+1/SUM(G9:G10))+(H19/H18^2)*(1/H13+1/SUM(H9:H9))))^0.5</f>
        <v>1592.4424687065825</v>
      </c>
      <c r="E26" s="243">
        <f>C26-D26</f>
        <v>0</v>
      </c>
      <c r="F26" s="190"/>
      <c r="G26" s="190"/>
      <c r="H26" s="190"/>
      <c r="I26" s="190"/>
      <c r="J26" s="190"/>
      <c r="K26" s="190"/>
    </row>
    <row r="27" spans="1:12" s="37" customFormat="1" ht="15.75" customHeight="1">
      <c r="F27" s="190"/>
      <c r="G27" s="190"/>
      <c r="H27" s="190"/>
      <c r="I27" s="190"/>
      <c r="J27" s="190"/>
      <c r="K27" s="190"/>
    </row>
    <row r="28" spans="1:12" ht="15.75" customHeight="1">
      <c r="A28" s="44"/>
      <c r="B28" s="44"/>
      <c r="C28" s="44"/>
      <c r="D28" s="44"/>
      <c r="E28" s="44"/>
      <c r="F28" s="44"/>
      <c r="G28" s="44"/>
      <c r="H28" s="44"/>
      <c r="I28" s="44"/>
      <c r="J28" s="44"/>
      <c r="K28" s="44"/>
      <c r="L28" s="44"/>
    </row>
    <row r="29" spans="1:12" ht="15.75" customHeight="1">
      <c r="A29" s="3" t="s">
        <v>9</v>
      </c>
      <c r="B29" s="3" t="s">
        <v>253</v>
      </c>
      <c r="C29" s="3"/>
      <c r="D29" s="3"/>
      <c r="E29" s="3"/>
      <c r="F29" s="3"/>
      <c r="G29" s="3"/>
      <c r="H29" s="3"/>
      <c r="I29" s="3"/>
      <c r="J29" s="3"/>
      <c r="K29" s="3"/>
      <c r="L29" s="2"/>
    </row>
    <row r="30" spans="1:12" ht="15.75" customHeight="1">
      <c r="A30" s="5"/>
      <c r="B30" s="5" t="s">
        <v>64</v>
      </c>
      <c r="C30" s="3"/>
      <c r="D30" s="3"/>
      <c r="E30" s="3"/>
      <c r="F30" s="156"/>
      <c r="G30" s="156"/>
      <c r="H30" s="156"/>
      <c r="I30" s="156"/>
      <c r="J30" s="156"/>
      <c r="K30" s="156"/>
      <c r="L30" s="2"/>
    </row>
    <row r="31" spans="1:12" s="37" customFormat="1" ht="15.75" customHeight="1">
      <c r="F31" s="190"/>
      <c r="G31" s="190"/>
      <c r="H31" s="190"/>
      <c r="I31" s="190"/>
      <c r="J31" s="190"/>
      <c r="K31" s="190"/>
    </row>
    <row r="32" spans="1:12" s="37" customFormat="1" ht="15.75" customHeight="1">
      <c r="B32" s="133" t="s">
        <v>47</v>
      </c>
      <c r="C32" s="242" t="s">
        <v>252</v>
      </c>
      <c r="F32" s="190"/>
      <c r="G32" s="190"/>
      <c r="H32" s="190"/>
      <c r="I32" s="190"/>
      <c r="J32" s="190"/>
      <c r="K32" s="190"/>
    </row>
    <row r="33" spans="1:12" s="37" customFormat="1" ht="15.75" customHeight="1">
      <c r="B33" s="133">
        <v>2</v>
      </c>
      <c r="C33" s="241">
        <f t="shared" ref="C33:C39" si="0">K10/J10</f>
        <v>0.22149787803330212</v>
      </c>
      <c r="F33" s="190"/>
      <c r="G33" s="190"/>
      <c r="H33" s="190"/>
      <c r="I33" s="190"/>
      <c r="J33" s="190"/>
      <c r="K33" s="190"/>
    </row>
    <row r="34" spans="1:12" s="37" customFormat="1" ht="15.75" customHeight="1">
      <c r="B34" s="133">
        <v>3</v>
      </c>
      <c r="C34" s="241">
        <f t="shared" si="0"/>
        <v>0.17351161894147071</v>
      </c>
      <c r="F34" s="190"/>
      <c r="G34" s="190"/>
      <c r="H34" s="190"/>
      <c r="I34" s="190"/>
      <c r="J34" s="190"/>
      <c r="K34" s="190"/>
    </row>
    <row r="35" spans="1:12" s="37" customFormat="1" ht="15.75" customHeight="1">
      <c r="B35" s="133">
        <v>4</v>
      </c>
      <c r="C35" s="241">
        <f t="shared" si="0"/>
        <v>0.2438622477868071</v>
      </c>
      <c r="F35" s="190"/>
      <c r="G35" s="190"/>
      <c r="H35" s="190"/>
      <c r="I35" s="190"/>
      <c r="J35" s="190"/>
      <c r="K35" s="190"/>
    </row>
    <row r="36" spans="1:12" s="37" customFormat="1" ht="15.75" customHeight="1">
      <c r="B36" s="133">
        <v>5</v>
      </c>
      <c r="C36" s="241">
        <f t="shared" si="0"/>
        <v>0.22052285886844017</v>
      </c>
      <c r="F36" s="190"/>
      <c r="G36" s="190"/>
      <c r="H36" s="190"/>
      <c r="I36" s="190"/>
      <c r="J36" s="190"/>
      <c r="K36" s="190"/>
    </row>
    <row r="37" spans="1:12" s="37" customFormat="1" ht="15.75" customHeight="1">
      <c r="B37" s="133">
        <v>6</v>
      </c>
      <c r="C37" s="241">
        <f t="shared" si="0"/>
        <v>0.25930478011984992</v>
      </c>
      <c r="F37" s="190"/>
      <c r="G37" s="190"/>
      <c r="H37" s="190"/>
      <c r="I37" s="190"/>
      <c r="J37" s="190"/>
      <c r="K37" s="190"/>
    </row>
    <row r="38" spans="1:12" s="37" customFormat="1" ht="15.75" customHeight="1">
      <c r="B38" s="133">
        <v>7</v>
      </c>
      <c r="C38" s="241">
        <f t="shared" si="0"/>
        <v>0.2184191678786043</v>
      </c>
      <c r="F38" s="190"/>
      <c r="G38" s="190"/>
      <c r="H38" s="190"/>
      <c r="I38" s="190"/>
      <c r="J38" s="190"/>
      <c r="K38" s="190"/>
    </row>
    <row r="39" spans="1:12" s="37" customFormat="1" ht="15.75" customHeight="1">
      <c r="B39" s="133" t="s">
        <v>240</v>
      </c>
      <c r="C39" s="241">
        <f t="shared" si="0"/>
        <v>0.13662820001362011</v>
      </c>
      <c r="F39" s="190"/>
      <c r="G39" s="190"/>
      <c r="H39" s="190"/>
      <c r="I39" s="190"/>
      <c r="J39" s="190"/>
      <c r="K39" s="190"/>
    </row>
    <row r="40" spans="1:12" s="37" customFormat="1" ht="15.75" customHeight="1">
      <c r="F40" s="190"/>
      <c r="G40" s="190"/>
      <c r="H40" s="190"/>
      <c r="I40" s="190"/>
      <c r="J40" s="190"/>
      <c r="K40" s="190"/>
    </row>
    <row r="41" spans="1:12" ht="15.75" customHeight="1">
      <c r="A41" s="119" t="s">
        <v>7</v>
      </c>
      <c r="B41" s="119" t="s">
        <v>251</v>
      </c>
      <c r="C41" s="119"/>
      <c r="D41" s="119"/>
      <c r="E41" s="119"/>
      <c r="F41" s="119"/>
      <c r="G41" s="119"/>
      <c r="H41" s="119"/>
      <c r="I41" s="119"/>
      <c r="J41" s="119"/>
      <c r="K41" s="119"/>
      <c r="L41" s="118"/>
    </row>
    <row r="42" spans="1:12" ht="15.75" customHeight="1">
      <c r="A42" s="119"/>
      <c r="B42" s="119"/>
      <c r="C42" s="119"/>
      <c r="D42" s="119"/>
      <c r="E42" s="118"/>
      <c r="F42" s="240" t="s">
        <v>250</v>
      </c>
      <c r="G42" s="239">
        <v>1.28</v>
      </c>
      <c r="H42" s="119"/>
      <c r="I42" s="119"/>
      <c r="J42" s="119"/>
      <c r="K42" s="119"/>
      <c r="L42" s="118"/>
    </row>
    <row r="43" spans="1:12" ht="15.75" customHeight="1">
      <c r="A43" s="121"/>
      <c r="B43" s="121" t="s">
        <v>64</v>
      </c>
      <c r="C43" s="121"/>
      <c r="D43" s="120"/>
      <c r="E43" s="120"/>
      <c r="F43" s="120"/>
      <c r="G43" s="120"/>
      <c r="H43" s="119"/>
      <c r="I43" s="119"/>
      <c r="J43" s="119"/>
      <c r="K43" s="119"/>
      <c r="L43" s="118"/>
    </row>
    <row r="44" spans="1:12" ht="15.75" customHeight="1">
      <c r="A44" s="233"/>
      <c r="B44" s="233"/>
      <c r="C44" s="233"/>
      <c r="D44" s="232"/>
      <c r="E44" s="232"/>
      <c r="F44" s="232"/>
      <c r="G44" s="232"/>
      <c r="H44" s="231"/>
      <c r="I44" s="231"/>
      <c r="J44" s="231"/>
      <c r="K44" s="231"/>
      <c r="L44" s="230"/>
    </row>
    <row r="45" spans="1:12" s="37" customFormat="1" ht="15.75" customHeight="1">
      <c r="A45" s="217"/>
      <c r="B45" s="238" t="s">
        <v>249</v>
      </c>
      <c r="C45" s="222">
        <f>LN(1+C39^2)</f>
        <v>1.8495170043349708E-2</v>
      </c>
      <c r="D45" s="217"/>
      <c r="E45" s="218"/>
      <c r="F45" s="218"/>
      <c r="G45" s="218"/>
      <c r="H45" s="218"/>
      <c r="I45" s="218"/>
      <c r="J45" s="218"/>
      <c r="K45" s="218"/>
      <c r="L45" s="217"/>
    </row>
    <row r="46" spans="1:12" s="37" customFormat="1" ht="15.75" customHeight="1">
      <c r="A46" s="237"/>
      <c r="B46" s="236" t="s">
        <v>248</v>
      </c>
      <c r="C46" s="219">
        <f>J16*EXP($G$42*C45^0.5-C45/2)</f>
        <v>57402.224414576071</v>
      </c>
      <c r="D46" s="217"/>
      <c r="E46" s="218"/>
      <c r="F46" s="218"/>
      <c r="G46" s="218"/>
      <c r="H46" s="218"/>
      <c r="I46" s="218"/>
      <c r="J46" s="218"/>
      <c r="K46" s="218"/>
      <c r="L46" s="217"/>
    </row>
    <row r="47" spans="1:12" s="37" customFormat="1" ht="15.75" customHeight="1">
      <c r="A47" s="217"/>
      <c r="B47" s="217"/>
      <c r="C47" s="217"/>
      <c r="D47" s="217"/>
      <c r="E47" s="217"/>
      <c r="F47" s="218"/>
      <c r="G47" s="218"/>
      <c r="H47" s="218"/>
      <c r="I47" s="218"/>
      <c r="J47" s="218"/>
      <c r="K47" s="218"/>
      <c r="L47" s="217"/>
    </row>
    <row r="48" spans="1:12" ht="30.9" customHeight="1">
      <c r="A48" s="235" t="s">
        <v>4</v>
      </c>
      <c r="B48" s="1682" t="s">
        <v>247</v>
      </c>
      <c r="C48" s="1682"/>
      <c r="D48" s="1682"/>
      <c r="E48" s="1682"/>
      <c r="F48" s="1682"/>
      <c r="G48" s="1682"/>
      <c r="H48" s="1682"/>
      <c r="I48" s="1682"/>
      <c r="J48" s="1682"/>
      <c r="K48" s="1682"/>
      <c r="L48" s="1682"/>
    </row>
    <row r="49" spans="1:12" ht="15.75" customHeight="1">
      <c r="A49" s="121"/>
      <c r="B49" s="121" t="s">
        <v>64</v>
      </c>
      <c r="C49" s="121"/>
      <c r="D49" s="120"/>
      <c r="E49" s="120"/>
      <c r="F49" s="120"/>
      <c r="G49" s="120"/>
      <c r="H49" s="119"/>
      <c r="I49" s="119"/>
      <c r="J49" s="118"/>
      <c r="K49" s="119"/>
      <c r="L49" s="118"/>
    </row>
    <row r="50" spans="1:12" ht="15.75" customHeight="1">
      <c r="A50" s="233"/>
      <c r="B50" s="233"/>
      <c r="C50" s="233"/>
      <c r="D50" s="232"/>
      <c r="E50" s="232"/>
      <c r="F50" s="232"/>
      <c r="G50" s="232"/>
      <c r="H50" s="230"/>
      <c r="I50" s="230"/>
      <c r="J50" s="230"/>
      <c r="K50" s="231"/>
      <c r="L50" s="230"/>
    </row>
    <row r="51" spans="1:12" s="37" customFormat="1">
      <c r="A51" s="217"/>
      <c r="B51" s="217"/>
      <c r="C51" s="217"/>
      <c r="D51" s="217"/>
      <c r="E51" s="217"/>
      <c r="F51" s="218"/>
      <c r="G51" s="218"/>
      <c r="H51" s="1683" t="s">
        <v>246</v>
      </c>
      <c r="I51" s="1684"/>
      <c r="J51" s="218"/>
      <c r="K51" s="218"/>
      <c r="L51" s="217"/>
    </row>
    <row r="52" spans="1:12" s="37" customFormat="1" ht="62.4" customHeight="1">
      <c r="A52" s="217"/>
      <c r="B52" s="229" t="s">
        <v>31</v>
      </c>
      <c r="C52" s="228" t="s">
        <v>245</v>
      </c>
      <c r="D52" s="217"/>
      <c r="E52" s="227" t="s">
        <v>244</v>
      </c>
      <c r="F52" s="225" t="s">
        <v>243</v>
      </c>
      <c r="G52" s="226"/>
      <c r="H52" s="225" t="s">
        <v>242</v>
      </c>
      <c r="I52" s="225" t="s">
        <v>241</v>
      </c>
      <c r="J52" s="218"/>
      <c r="K52" s="218"/>
      <c r="L52" s="217"/>
    </row>
    <row r="53" spans="1:12" s="37" customFormat="1" ht="15.75" customHeight="1">
      <c r="A53" s="217"/>
      <c r="B53" s="220">
        <v>2</v>
      </c>
      <c r="C53" s="219">
        <f t="shared" ref="C53:C58" si="1">J10*EXP($H$53*E53^0.5-E53/2)</f>
        <v>1047.3698728102872</v>
      </c>
      <c r="D53" s="217"/>
      <c r="E53" s="222">
        <f t="shared" ref="E53:E58" si="2">LN(1+C33^2)</f>
        <v>4.789577381993753E-2</v>
      </c>
      <c r="F53" s="221">
        <f t="shared" ref="F53:F58" si="3">J10*EXP($G$42*E53^0.5-E53/2)</f>
        <v>1152.1281436960401</v>
      </c>
      <c r="G53" s="217"/>
      <c r="H53" s="224">
        <v>0.84441304943426754</v>
      </c>
      <c r="I53" s="223">
        <f>C59-C46</f>
        <v>1.0741328878793865E-5</v>
      </c>
      <c r="J53" s="218"/>
      <c r="K53" s="218"/>
      <c r="L53" s="217"/>
    </row>
    <row r="54" spans="1:12" s="37" customFormat="1" ht="15.75" customHeight="1">
      <c r="A54" s="217"/>
      <c r="B54" s="220">
        <v>3</v>
      </c>
      <c r="C54" s="219">
        <f t="shared" si="1"/>
        <v>3133.2108188651009</v>
      </c>
      <c r="D54" s="217"/>
      <c r="E54" s="222">
        <f t="shared" si="2"/>
        <v>2.9661983236348149E-2</v>
      </c>
      <c r="F54" s="221">
        <f t="shared" si="3"/>
        <v>3377.3045994459289</v>
      </c>
      <c r="G54" s="217"/>
      <c r="H54" s="218"/>
      <c r="I54" s="218"/>
      <c r="J54" s="218"/>
      <c r="K54" s="218"/>
      <c r="L54" s="217"/>
    </row>
    <row r="55" spans="1:12" s="37" customFormat="1" ht="15.75" customHeight="1">
      <c r="A55" s="217"/>
      <c r="B55" s="220">
        <v>4</v>
      </c>
      <c r="C55" s="219">
        <f t="shared" si="1"/>
        <v>6105.3689518042029</v>
      </c>
      <c r="D55" s="217"/>
      <c r="E55" s="222">
        <f t="shared" si="2"/>
        <v>5.7767646565874797E-2</v>
      </c>
      <c r="F55" s="221">
        <f t="shared" si="3"/>
        <v>6779.2158058020623</v>
      </c>
      <c r="G55" s="217"/>
      <c r="H55" s="218"/>
      <c r="I55" s="218"/>
      <c r="J55" s="218"/>
      <c r="K55" s="218"/>
      <c r="L55" s="217"/>
    </row>
    <row r="56" spans="1:12" s="37" customFormat="1" ht="15.75" customHeight="1">
      <c r="A56" s="217"/>
      <c r="B56" s="220">
        <v>5</v>
      </c>
      <c r="C56" s="219">
        <f t="shared" si="1"/>
        <v>8476.4074237288278</v>
      </c>
      <c r="D56" s="217"/>
      <c r="E56" s="222">
        <f t="shared" si="2"/>
        <v>4.7484866241975822E-2</v>
      </c>
      <c r="F56" s="221">
        <f t="shared" si="3"/>
        <v>9320.4001065431348</v>
      </c>
      <c r="G56" s="217"/>
      <c r="H56" s="218"/>
      <c r="I56" s="218"/>
      <c r="J56" s="218"/>
      <c r="K56" s="218"/>
      <c r="L56" s="217"/>
    </row>
    <row r="57" spans="1:12" s="37" customFormat="1" ht="15.75" customHeight="1">
      <c r="A57" s="217"/>
      <c r="B57" s="220">
        <v>6</v>
      </c>
      <c r="C57" s="219">
        <f t="shared" si="1"/>
        <v>13573.091431327097</v>
      </c>
      <c r="D57" s="217"/>
      <c r="E57" s="222">
        <f t="shared" si="2"/>
        <v>6.5074910685913839E-2</v>
      </c>
      <c r="F57" s="221">
        <f t="shared" si="3"/>
        <v>15168.282257622539</v>
      </c>
      <c r="G57" s="217"/>
      <c r="H57" s="218"/>
      <c r="I57" s="218"/>
      <c r="J57" s="218"/>
      <c r="K57" s="218"/>
      <c r="L57" s="217"/>
    </row>
    <row r="58" spans="1:12" s="37" customFormat="1" ht="15.75" customHeight="1">
      <c r="A58" s="217"/>
      <c r="B58" s="220">
        <v>7</v>
      </c>
      <c r="C58" s="219">
        <f t="shared" si="1"/>
        <v>25066.775926781884</v>
      </c>
      <c r="D58" s="217"/>
      <c r="E58" s="222">
        <f t="shared" si="2"/>
        <v>4.6603902608664961E-2</v>
      </c>
      <c r="F58" s="221">
        <f t="shared" si="3"/>
        <v>27538.293796903625</v>
      </c>
      <c r="G58" s="217"/>
      <c r="H58" s="218"/>
      <c r="I58" s="218"/>
      <c r="J58" s="218"/>
      <c r="K58" s="218"/>
      <c r="L58" s="217"/>
    </row>
    <row r="59" spans="1:12" s="37" customFormat="1" ht="15.75" customHeight="1">
      <c r="A59" s="217"/>
      <c r="B59" s="220" t="s">
        <v>240</v>
      </c>
      <c r="C59" s="219">
        <f>SUM(C53:C58)</f>
        <v>57402.224425317399</v>
      </c>
      <c r="D59" s="217"/>
      <c r="E59" s="217"/>
      <c r="F59" s="218"/>
      <c r="G59" s="217"/>
      <c r="H59" s="217"/>
      <c r="I59" s="218"/>
      <c r="J59" s="218"/>
      <c r="K59" s="218"/>
      <c r="L59" s="217"/>
    </row>
    <row r="60" spans="1:12" s="37" customFormat="1" ht="15.75" customHeight="1">
      <c r="A60" s="217"/>
      <c r="B60" s="217"/>
      <c r="C60" s="217"/>
      <c r="D60" s="217"/>
      <c r="E60" s="217"/>
      <c r="F60" s="218"/>
      <c r="G60" s="218"/>
      <c r="H60" s="218"/>
      <c r="I60" s="218"/>
      <c r="J60" s="218"/>
      <c r="K60" s="218"/>
      <c r="L60" s="217"/>
    </row>
    <row r="61" spans="1:12">
      <c r="A61" s="119" t="s">
        <v>48</v>
      </c>
      <c r="B61" s="119" t="s">
        <v>239</v>
      </c>
      <c r="C61" s="119"/>
      <c r="D61" s="119"/>
      <c r="E61" s="119"/>
      <c r="F61" s="119"/>
      <c r="G61" s="119"/>
      <c r="H61" s="119"/>
      <c r="I61" s="119"/>
      <c r="J61" s="119"/>
      <c r="K61" s="119"/>
      <c r="L61" s="118"/>
    </row>
    <row r="62" spans="1:12" ht="16.2">
      <c r="A62" s="121"/>
      <c r="B62" s="121" t="s">
        <v>64</v>
      </c>
      <c r="C62" s="121"/>
      <c r="D62" s="120"/>
      <c r="E62" s="120"/>
      <c r="F62" s="120"/>
      <c r="G62" s="120"/>
      <c r="H62" s="119"/>
      <c r="I62" s="119"/>
      <c r="J62" s="118"/>
      <c r="K62" s="119"/>
      <c r="L62" s="118"/>
    </row>
    <row r="63" spans="1:12" s="37" customFormat="1" ht="15.75" customHeight="1">
      <c r="A63" s="217"/>
      <c r="B63" s="217"/>
      <c r="C63" s="217"/>
      <c r="D63" s="217"/>
      <c r="E63" s="217"/>
      <c r="F63" s="218"/>
      <c r="G63" s="218"/>
      <c r="H63" s="218"/>
      <c r="I63" s="218"/>
      <c r="J63" s="218"/>
      <c r="K63" s="218"/>
      <c r="L63" s="217"/>
    </row>
    <row r="64" spans="1:12" s="37" customFormat="1" ht="15.75" customHeight="1">
      <c r="A64" s="217"/>
      <c r="B64" s="217" t="s">
        <v>238</v>
      </c>
      <c r="C64" s="217"/>
      <c r="D64" s="217"/>
      <c r="E64" s="217"/>
      <c r="F64" s="218"/>
      <c r="G64" s="218"/>
      <c r="H64" s="218"/>
      <c r="I64" s="218"/>
      <c r="J64" s="218"/>
      <c r="K64" s="218"/>
      <c r="L64" s="217"/>
    </row>
    <row r="65" spans="1:12" s="37" customFormat="1" ht="15.75" customHeight="1">
      <c r="A65" s="217"/>
      <c r="B65" s="217"/>
      <c r="C65" s="217"/>
      <c r="D65" s="217"/>
      <c r="E65" s="217"/>
      <c r="F65" s="218"/>
      <c r="G65" s="218"/>
      <c r="H65" s="218"/>
      <c r="I65" s="218"/>
      <c r="J65" s="218"/>
      <c r="K65" s="218"/>
      <c r="L65" s="217"/>
    </row>
    <row r="66" spans="1:12">
      <c r="A66" s="119" t="s">
        <v>129</v>
      </c>
      <c r="B66" s="119" t="s">
        <v>237</v>
      </c>
      <c r="C66" s="119"/>
      <c r="D66" s="119"/>
      <c r="E66" s="119"/>
      <c r="F66" s="119"/>
      <c r="G66" s="119"/>
      <c r="H66" s="119"/>
      <c r="I66" s="119"/>
      <c r="J66" s="119"/>
      <c r="K66" s="119"/>
      <c r="L66" s="118"/>
    </row>
    <row r="67" spans="1:12" ht="16.2">
      <c r="A67" s="121"/>
      <c r="B67" s="121" t="s">
        <v>64</v>
      </c>
      <c r="C67" s="121"/>
      <c r="D67" s="120"/>
      <c r="E67" s="120"/>
      <c r="F67" s="120"/>
      <c r="G67" s="120"/>
      <c r="H67" s="119"/>
      <c r="I67" s="119"/>
      <c r="J67" s="118"/>
      <c r="K67" s="119"/>
      <c r="L67" s="118"/>
    </row>
    <row r="68" spans="1:12" s="37" customFormat="1" ht="15.75" customHeight="1">
      <c r="A68" s="217"/>
      <c r="B68" s="217"/>
      <c r="C68" s="217"/>
      <c r="D68" s="217"/>
      <c r="E68" s="217"/>
      <c r="F68" s="218"/>
      <c r="G68" s="218"/>
      <c r="H68" s="218"/>
      <c r="I68" s="218"/>
      <c r="J68" s="218"/>
      <c r="K68" s="218"/>
      <c r="L68" s="217"/>
    </row>
    <row r="69" spans="1:12" s="37" customFormat="1" ht="15.75" customHeight="1">
      <c r="A69" s="217"/>
      <c r="B69" s="217" t="s">
        <v>236</v>
      </c>
      <c r="C69" s="217"/>
      <c r="D69" s="217"/>
      <c r="E69" s="217"/>
      <c r="F69" s="218"/>
      <c r="G69" s="218"/>
      <c r="H69" s="218"/>
      <c r="I69" s="218"/>
      <c r="J69" s="218"/>
      <c r="K69" s="218"/>
      <c r="L69" s="217"/>
    </row>
    <row r="70" spans="1:12" s="37" customFormat="1" ht="15.75" customHeight="1">
      <c r="A70" s="217"/>
      <c r="B70" s="217"/>
      <c r="C70" s="217"/>
      <c r="D70" s="217"/>
      <c r="E70" s="217"/>
      <c r="F70" s="218"/>
      <c r="G70" s="218"/>
      <c r="H70" s="218"/>
      <c r="I70" s="218"/>
      <c r="J70" s="218"/>
      <c r="K70" s="218"/>
      <c r="L70" s="217"/>
    </row>
    <row r="71" spans="1:12">
      <c r="A71" s="3" t="s">
        <v>235</v>
      </c>
      <c r="B71" s="3" t="s">
        <v>234</v>
      </c>
      <c r="C71" s="3"/>
      <c r="D71" s="3"/>
      <c r="E71" s="3"/>
      <c r="F71" s="3"/>
      <c r="G71" s="3"/>
      <c r="H71" s="3"/>
      <c r="I71" s="3"/>
      <c r="J71" s="3"/>
      <c r="K71" s="3"/>
      <c r="L71" s="2"/>
    </row>
    <row r="72" spans="1:12" ht="16.2">
      <c r="A72" s="5"/>
      <c r="B72" s="200" t="s">
        <v>233</v>
      </c>
      <c r="C72" s="200"/>
      <c r="D72" s="199"/>
      <c r="E72" s="199"/>
      <c r="F72" s="199"/>
      <c r="G72" s="199"/>
      <c r="H72" s="198"/>
      <c r="I72" s="198"/>
      <c r="J72" s="197"/>
      <c r="K72" s="198"/>
      <c r="L72" s="197"/>
    </row>
    <row r="76" spans="1:12">
      <c r="A76" s="216" t="s">
        <v>232</v>
      </c>
      <c r="B76" s="216" t="s">
        <v>231</v>
      </c>
    </row>
    <row r="77" spans="1:12">
      <c r="A77" s="215">
        <f t="shared" ref="A77:B82" si="4">C9</f>
        <v>2089</v>
      </c>
      <c r="B77" s="215">
        <f t="shared" si="4"/>
        <v>7443</v>
      </c>
    </row>
    <row r="78" spans="1:12">
      <c r="A78" s="215">
        <f t="shared" si="4"/>
        <v>3096</v>
      </c>
      <c r="B78" s="215">
        <f t="shared" si="4"/>
        <v>9116</v>
      </c>
    </row>
    <row r="79" spans="1:12">
      <c r="A79" s="215">
        <f t="shared" si="4"/>
        <v>2382</v>
      </c>
      <c r="B79" s="215">
        <f t="shared" si="4"/>
        <v>8774</v>
      </c>
    </row>
    <row r="80" spans="1:12">
      <c r="A80" s="215">
        <f t="shared" si="4"/>
        <v>1899</v>
      </c>
      <c r="B80" s="215">
        <f t="shared" si="4"/>
        <v>7537</v>
      </c>
    </row>
    <row r="81" spans="1:12">
      <c r="A81" s="215">
        <f t="shared" si="4"/>
        <v>1538</v>
      </c>
      <c r="B81" s="215">
        <f t="shared" si="4"/>
        <v>6670</v>
      </c>
    </row>
    <row r="82" spans="1:12">
      <c r="A82" s="215">
        <f t="shared" si="4"/>
        <v>1928</v>
      </c>
      <c r="B82" s="215">
        <f t="shared" si="4"/>
        <v>7197</v>
      </c>
    </row>
    <row r="88" spans="1:12">
      <c r="A88"/>
      <c r="B88"/>
      <c r="C88"/>
      <c r="D88"/>
      <c r="E88"/>
      <c r="F88"/>
      <c r="G88"/>
      <c r="H88"/>
      <c r="I88"/>
      <c r="J88"/>
      <c r="K88"/>
      <c r="L88"/>
    </row>
    <row r="89" spans="1:12">
      <c r="A89"/>
      <c r="B89"/>
      <c r="C89"/>
      <c r="D89"/>
      <c r="E89"/>
      <c r="F89"/>
      <c r="G89"/>
      <c r="H89"/>
      <c r="I89"/>
      <c r="J89"/>
      <c r="K89"/>
      <c r="L89"/>
    </row>
    <row r="90" spans="1:12" ht="30.9" customHeight="1">
      <c r="A90" s="214" t="s">
        <v>230</v>
      </c>
      <c r="B90" s="1670" t="s">
        <v>229</v>
      </c>
      <c r="C90" s="1670"/>
      <c r="D90" s="1670"/>
      <c r="E90" s="1670"/>
      <c r="F90" s="1670"/>
      <c r="G90" s="1670"/>
      <c r="H90" s="1670"/>
      <c r="I90" s="1670"/>
      <c r="J90" s="1670"/>
      <c r="K90" s="1670"/>
      <c r="L90" s="1670"/>
    </row>
    <row r="91" spans="1:12" ht="16.2">
      <c r="A91" s="5"/>
      <c r="B91" s="5" t="s">
        <v>64</v>
      </c>
      <c r="C91" s="5"/>
      <c r="D91" s="4"/>
      <c r="E91" s="4"/>
      <c r="F91" s="4"/>
      <c r="G91" s="4"/>
      <c r="H91" s="3"/>
      <c r="I91" s="3"/>
      <c r="J91" s="2"/>
      <c r="K91" s="3"/>
      <c r="L91" s="2"/>
    </row>
    <row r="92" spans="1:12">
      <c r="A92" s="37"/>
      <c r="B92" s="37"/>
      <c r="C92" s="37"/>
      <c r="D92" s="37"/>
      <c r="E92" s="37"/>
      <c r="F92" s="37"/>
      <c r="G92" s="37"/>
      <c r="H92" s="37"/>
      <c r="I92" s="37"/>
      <c r="J92" s="37"/>
      <c r="K92" s="37"/>
      <c r="L92" s="37"/>
    </row>
    <row r="93" spans="1:12">
      <c r="A93" s="37"/>
      <c r="B93" s="37" t="s">
        <v>228</v>
      </c>
      <c r="C93" s="37"/>
      <c r="D93" s="37"/>
      <c r="E93" s="37"/>
      <c r="F93" s="37"/>
      <c r="G93" s="37"/>
      <c r="H93" s="37"/>
      <c r="I93" s="37"/>
      <c r="J93" s="37"/>
      <c r="K93" s="37"/>
      <c r="L93" s="37"/>
    </row>
    <row r="94" spans="1:12">
      <c r="A94" s="37"/>
      <c r="B94" s="37" t="s">
        <v>227</v>
      </c>
      <c r="C94" s="37"/>
      <c r="D94" s="37"/>
      <c r="E94" s="37"/>
      <c r="F94" s="37"/>
      <c r="G94" s="37"/>
      <c r="H94" s="37"/>
      <c r="I94" s="37"/>
      <c r="J94" s="37"/>
      <c r="K94" s="37"/>
      <c r="L94" s="37"/>
    </row>
    <row r="95" spans="1:12">
      <c r="A95" s="37"/>
      <c r="B95" s="37"/>
      <c r="C95" s="37"/>
      <c r="D95" s="37"/>
      <c r="E95" s="37"/>
      <c r="F95" s="37"/>
      <c r="G95" s="37"/>
      <c r="H95" s="37"/>
      <c r="I95" s="37"/>
      <c r="J95" s="37"/>
      <c r="K95" s="37"/>
      <c r="L95" s="37"/>
    </row>
    <row r="96" spans="1:12">
      <c r="A96" s="37"/>
      <c r="B96" s="37"/>
      <c r="C96" s="37"/>
      <c r="D96" s="37"/>
      <c r="E96" s="37"/>
      <c r="F96" s="37"/>
      <c r="G96" s="37"/>
      <c r="H96" s="37"/>
      <c r="I96" s="37"/>
      <c r="J96" s="37"/>
      <c r="K96" s="37"/>
      <c r="L96" s="37"/>
    </row>
    <row r="97" spans="1:12">
      <c r="A97" s="37"/>
      <c r="B97" s="37"/>
      <c r="C97" s="37"/>
      <c r="D97" s="37"/>
      <c r="E97" s="37"/>
      <c r="F97" s="37"/>
      <c r="G97" s="37"/>
      <c r="H97" s="37"/>
      <c r="I97" s="37"/>
      <c r="J97" s="37"/>
      <c r="K97" s="37"/>
      <c r="L97" s="37"/>
    </row>
    <row r="98" spans="1:12">
      <c r="A98" s="37"/>
      <c r="B98" s="37"/>
      <c r="C98" s="37"/>
      <c r="D98" s="37"/>
      <c r="E98" s="37"/>
      <c r="F98" s="37"/>
      <c r="G98" s="37"/>
      <c r="H98" s="37"/>
      <c r="I98" s="37"/>
      <c r="J98" s="37"/>
      <c r="K98" s="37"/>
      <c r="L98" s="37"/>
    </row>
    <row r="99" spans="1:12">
      <c r="A99" s="37"/>
      <c r="B99" s="37"/>
      <c r="C99" s="37"/>
      <c r="D99" s="37"/>
      <c r="E99" s="37"/>
      <c r="F99" s="37"/>
      <c r="G99" s="37"/>
      <c r="H99" s="37"/>
      <c r="I99" s="37"/>
      <c r="J99" s="37"/>
      <c r="K99" s="37"/>
      <c r="L99" s="37"/>
    </row>
    <row r="100" spans="1:12">
      <c r="A100" s="37"/>
      <c r="B100" s="37"/>
      <c r="C100" s="37"/>
      <c r="D100" s="37"/>
      <c r="E100" s="37"/>
      <c r="F100" s="37"/>
      <c r="G100" s="37"/>
      <c r="H100" s="37"/>
      <c r="I100" s="37"/>
      <c r="J100" s="37"/>
      <c r="K100" s="37"/>
      <c r="L100" s="37"/>
    </row>
    <row r="101" spans="1:12">
      <c r="A101" s="37"/>
      <c r="B101" s="37"/>
      <c r="C101" s="37"/>
      <c r="D101" s="37"/>
      <c r="E101" s="37"/>
      <c r="F101" s="37"/>
      <c r="G101" s="37"/>
      <c r="H101" s="37"/>
      <c r="I101" s="37"/>
      <c r="J101" s="37"/>
      <c r="K101" s="37"/>
      <c r="L101" s="37"/>
    </row>
    <row r="102" spans="1:12">
      <c r="A102" s="37"/>
      <c r="B102" s="37"/>
      <c r="C102" s="37"/>
      <c r="D102" s="37"/>
      <c r="E102" s="37"/>
      <c r="F102" s="37"/>
      <c r="G102" s="37"/>
      <c r="H102" s="37"/>
      <c r="I102" s="37"/>
      <c r="J102" s="37"/>
      <c r="K102" s="37"/>
      <c r="L102" s="37"/>
    </row>
    <row r="103" spans="1:12">
      <c r="A103" s="37"/>
      <c r="B103" s="37"/>
      <c r="C103" s="37"/>
      <c r="D103" s="37"/>
      <c r="E103" s="37"/>
      <c r="F103" s="37"/>
      <c r="G103" s="37"/>
      <c r="H103" s="37"/>
      <c r="I103" s="37"/>
      <c r="J103" s="37"/>
      <c r="K103" s="37"/>
      <c r="L103" s="37"/>
    </row>
    <row r="104" spans="1:12">
      <c r="A104" s="37"/>
      <c r="B104" s="37"/>
      <c r="C104" s="37"/>
      <c r="D104" s="37"/>
      <c r="E104" s="37"/>
      <c r="F104" s="37"/>
      <c r="G104" s="37"/>
      <c r="H104" s="37"/>
      <c r="I104" s="37"/>
      <c r="J104" s="37"/>
      <c r="K104" s="37"/>
      <c r="L104" s="37"/>
    </row>
    <row r="105" spans="1:12">
      <c r="A105" s="37"/>
      <c r="B105" s="37"/>
      <c r="C105" s="37"/>
      <c r="D105" s="37"/>
      <c r="E105" s="37"/>
      <c r="F105" s="37"/>
      <c r="G105" s="37"/>
      <c r="H105" s="37"/>
      <c r="I105" s="37"/>
      <c r="J105" s="37"/>
      <c r="K105" s="37"/>
      <c r="L105" s="37"/>
    </row>
    <row r="106" spans="1:12">
      <c r="A106" s="37"/>
      <c r="B106" s="37"/>
      <c r="C106" s="37"/>
      <c r="D106" s="37"/>
      <c r="E106" s="37"/>
      <c r="F106" s="37"/>
      <c r="G106" s="37"/>
      <c r="H106" s="37"/>
      <c r="I106" s="37"/>
      <c r="J106" s="37"/>
      <c r="K106" s="37"/>
      <c r="L106" s="37"/>
    </row>
    <row r="107" spans="1:12">
      <c r="A107" s="37"/>
      <c r="B107" s="37"/>
      <c r="C107" s="37"/>
      <c r="D107" s="37"/>
      <c r="E107" s="37"/>
      <c r="F107" s="37"/>
      <c r="G107" s="37"/>
      <c r="H107" s="37"/>
      <c r="I107" s="37"/>
      <c r="J107" s="37"/>
      <c r="K107" s="37"/>
      <c r="L107" s="37"/>
    </row>
    <row r="108" spans="1:12">
      <c r="A108" s="37"/>
      <c r="B108" s="37"/>
      <c r="C108" s="37"/>
      <c r="D108" s="37"/>
      <c r="E108" s="37"/>
      <c r="F108" s="37"/>
      <c r="G108" s="37"/>
      <c r="H108" s="37"/>
      <c r="I108" s="37"/>
      <c r="J108" s="37"/>
      <c r="K108" s="37"/>
      <c r="L108" s="37"/>
    </row>
    <row r="109" spans="1:12">
      <c r="A109" s="37"/>
      <c r="B109" s="37"/>
      <c r="C109" s="37"/>
      <c r="D109" s="37"/>
      <c r="E109" s="37"/>
      <c r="F109" s="37"/>
      <c r="G109" s="37"/>
      <c r="H109" s="37"/>
      <c r="I109" s="37"/>
      <c r="J109" s="37"/>
      <c r="K109" s="37"/>
      <c r="L109" s="37"/>
    </row>
    <row r="110" spans="1:12">
      <c r="A110" s="37"/>
      <c r="B110" s="37"/>
      <c r="C110" s="37"/>
      <c r="D110" s="37"/>
      <c r="E110" s="37"/>
      <c r="F110" s="37"/>
      <c r="G110" s="37"/>
      <c r="H110" s="37"/>
      <c r="I110" s="37"/>
      <c r="J110" s="37"/>
      <c r="K110" s="37"/>
      <c r="L110" s="37"/>
    </row>
    <row r="111" spans="1:12">
      <c r="A111" s="37"/>
      <c r="B111" s="37"/>
      <c r="C111" s="37"/>
      <c r="D111" s="37"/>
      <c r="E111" s="37"/>
      <c r="F111" s="37"/>
      <c r="G111" s="37"/>
      <c r="H111" s="37"/>
      <c r="I111" s="37"/>
      <c r="J111" s="37"/>
      <c r="K111" s="37"/>
      <c r="L111" s="37"/>
    </row>
    <row r="112" spans="1:12">
      <c r="A112" s="37"/>
      <c r="B112" s="37"/>
      <c r="C112" s="37"/>
      <c r="D112" s="37"/>
      <c r="E112" s="37"/>
      <c r="F112" s="37"/>
      <c r="G112" s="37"/>
      <c r="H112" s="37"/>
      <c r="I112" s="37"/>
      <c r="J112" s="37"/>
      <c r="K112" s="37"/>
      <c r="L112" s="37"/>
    </row>
    <row r="113" spans="1:12">
      <c r="A113" s="37"/>
      <c r="B113" s="37"/>
      <c r="C113" s="37"/>
      <c r="D113" s="37"/>
      <c r="E113" s="37"/>
      <c r="F113" s="37"/>
      <c r="G113" s="37"/>
      <c r="H113" s="37"/>
      <c r="I113" s="37"/>
      <c r="J113" s="37"/>
      <c r="K113" s="37"/>
      <c r="L113" s="37"/>
    </row>
    <row r="114" spans="1:12">
      <c r="A114" s="37"/>
      <c r="B114" s="37"/>
      <c r="C114" s="37"/>
      <c r="D114" s="37"/>
      <c r="E114" s="37"/>
      <c r="F114" s="37"/>
      <c r="G114" s="37"/>
      <c r="H114" s="37"/>
      <c r="I114" s="37"/>
      <c r="J114" s="37"/>
      <c r="K114" s="37"/>
      <c r="L114" s="37"/>
    </row>
    <row r="115" spans="1:12">
      <c r="A115" s="37"/>
      <c r="B115" s="37"/>
      <c r="C115" s="37"/>
      <c r="D115" s="37"/>
      <c r="E115" s="37"/>
      <c r="F115" s="37"/>
      <c r="G115" s="37"/>
      <c r="H115" s="37"/>
      <c r="I115" s="37"/>
      <c r="J115" s="37"/>
      <c r="K115" s="37"/>
      <c r="L115" s="37"/>
    </row>
    <row r="116" spans="1:12">
      <c r="A116" s="37"/>
      <c r="B116" s="37"/>
      <c r="C116" s="37"/>
      <c r="D116" s="37"/>
      <c r="E116" s="37"/>
      <c r="F116" s="37"/>
      <c r="G116" s="37"/>
      <c r="H116" s="37"/>
      <c r="I116" s="37"/>
      <c r="J116" s="37"/>
      <c r="K116" s="37"/>
      <c r="L116" s="37"/>
    </row>
    <row r="117" spans="1:12">
      <c r="A117" s="37"/>
      <c r="B117" s="37"/>
      <c r="C117" s="37"/>
      <c r="D117" s="37"/>
      <c r="E117" s="37"/>
      <c r="F117" s="37"/>
      <c r="G117" s="37"/>
      <c r="H117" s="37"/>
      <c r="I117" s="37"/>
      <c r="J117" s="37"/>
      <c r="K117" s="37"/>
      <c r="L117" s="37"/>
    </row>
    <row r="118" spans="1:12">
      <c r="A118" s="37"/>
      <c r="B118" s="37"/>
      <c r="C118" s="37"/>
      <c r="D118" s="37"/>
      <c r="E118" s="37"/>
      <c r="F118" s="37"/>
      <c r="G118" s="37"/>
      <c r="H118" s="37"/>
      <c r="I118" s="37"/>
      <c r="J118" s="37"/>
      <c r="K118" s="37"/>
      <c r="L118" s="37"/>
    </row>
    <row r="119" spans="1:12">
      <c r="A119" s="37"/>
      <c r="B119" s="37"/>
      <c r="C119" s="37"/>
      <c r="D119" s="37"/>
      <c r="E119" s="37"/>
      <c r="F119" s="37"/>
      <c r="G119" s="37"/>
      <c r="H119" s="37"/>
      <c r="I119" s="37"/>
      <c r="J119" s="37"/>
      <c r="K119" s="37"/>
      <c r="L119" s="37"/>
    </row>
    <row r="120" spans="1:12">
      <c r="A120" s="37"/>
      <c r="B120" s="37"/>
      <c r="C120" s="37"/>
      <c r="D120" s="37"/>
      <c r="E120" s="37"/>
      <c r="F120" s="37"/>
      <c r="G120" s="37"/>
      <c r="H120" s="37"/>
      <c r="I120" s="37"/>
      <c r="J120" s="37"/>
      <c r="K120" s="37"/>
      <c r="L120" s="37"/>
    </row>
    <row r="121" spans="1:12">
      <c r="A121" s="37"/>
      <c r="B121" s="37"/>
      <c r="C121" s="37"/>
      <c r="D121" s="37"/>
      <c r="E121" s="37"/>
      <c r="F121" s="37"/>
      <c r="G121" s="37"/>
      <c r="H121" s="37"/>
      <c r="I121" s="37"/>
      <c r="J121" s="37"/>
      <c r="K121" s="37"/>
      <c r="L121" s="37"/>
    </row>
    <row r="122" spans="1:12">
      <c r="A122" s="37"/>
      <c r="B122" s="37"/>
      <c r="C122" s="37"/>
      <c r="D122" s="37"/>
      <c r="E122" s="37"/>
      <c r="F122" s="37"/>
      <c r="G122" s="37"/>
      <c r="H122" s="37"/>
      <c r="I122" s="37"/>
      <c r="J122" s="37"/>
      <c r="K122" s="37"/>
      <c r="L122" s="37"/>
    </row>
    <row r="123" spans="1:12">
      <c r="A123" s="37"/>
      <c r="B123" s="37"/>
      <c r="C123" s="37"/>
      <c r="D123" s="37"/>
      <c r="E123" s="37"/>
      <c r="F123" s="37"/>
      <c r="G123" s="37"/>
      <c r="H123" s="37"/>
      <c r="I123" s="37"/>
      <c r="J123" s="37"/>
      <c r="K123" s="37"/>
      <c r="L123" s="37"/>
    </row>
    <row r="124" spans="1:12">
      <c r="A124" s="37"/>
      <c r="B124" s="37"/>
      <c r="C124" s="37"/>
      <c r="D124" s="37"/>
      <c r="E124" s="37"/>
      <c r="F124" s="37"/>
      <c r="G124" s="37"/>
      <c r="H124" s="37"/>
      <c r="I124" s="37"/>
      <c r="J124" s="37"/>
      <c r="K124" s="37"/>
      <c r="L124" s="37"/>
    </row>
    <row r="125" spans="1:12">
      <c r="A125" s="37"/>
      <c r="B125" s="37"/>
      <c r="C125" s="37"/>
      <c r="D125" s="37"/>
      <c r="E125" s="37"/>
      <c r="F125" s="37"/>
      <c r="G125" s="37"/>
      <c r="H125" s="37"/>
      <c r="I125" s="37"/>
      <c r="J125" s="37"/>
      <c r="K125" s="37"/>
      <c r="L125" s="37"/>
    </row>
    <row r="126" spans="1:12">
      <c r="A126" s="37"/>
      <c r="B126" s="37"/>
      <c r="C126" s="37"/>
      <c r="D126" s="37"/>
      <c r="E126" s="37"/>
      <c r="F126" s="37"/>
      <c r="G126" s="37"/>
      <c r="H126" s="37"/>
      <c r="I126" s="37"/>
      <c r="J126" s="37"/>
      <c r="K126" s="37"/>
      <c r="L126" s="37"/>
    </row>
    <row r="127" spans="1:12">
      <c r="A127" s="37"/>
      <c r="B127" s="37"/>
      <c r="C127" s="37"/>
      <c r="D127" s="37"/>
      <c r="E127" s="37"/>
      <c r="F127" s="37"/>
      <c r="G127" s="37"/>
      <c r="H127" s="37"/>
      <c r="I127" s="37"/>
      <c r="J127" s="37"/>
      <c r="K127" s="37"/>
      <c r="L127" s="37"/>
    </row>
    <row r="128" spans="1:12">
      <c r="A128" s="37"/>
      <c r="B128" s="37"/>
      <c r="C128" s="37"/>
      <c r="D128" s="37"/>
      <c r="E128" s="37"/>
      <c r="F128" s="37"/>
      <c r="G128" s="37"/>
      <c r="H128" s="37"/>
      <c r="I128" s="37"/>
      <c r="J128" s="37"/>
      <c r="K128" s="37"/>
      <c r="L128" s="37"/>
    </row>
    <row r="129" spans="1:12">
      <c r="A129" s="37"/>
      <c r="B129" s="37"/>
      <c r="C129" s="37"/>
      <c r="D129" s="37"/>
      <c r="E129" s="37"/>
      <c r="F129" s="37"/>
      <c r="G129" s="37"/>
      <c r="H129" s="37"/>
      <c r="I129" s="37"/>
      <c r="J129" s="37"/>
      <c r="K129" s="37"/>
      <c r="L129" s="37"/>
    </row>
    <row r="130" spans="1:12">
      <c r="A130" s="37"/>
      <c r="B130" s="37"/>
      <c r="C130" s="37"/>
      <c r="D130" s="37"/>
      <c r="E130" s="37"/>
      <c r="F130" s="37"/>
      <c r="G130" s="37"/>
      <c r="H130" s="37"/>
      <c r="I130" s="37"/>
      <c r="J130" s="37"/>
      <c r="K130" s="37"/>
      <c r="L130" s="37"/>
    </row>
    <row r="131" spans="1:12">
      <c r="A131" s="37"/>
      <c r="B131" s="37"/>
      <c r="C131" s="37"/>
      <c r="D131" s="37"/>
      <c r="E131" s="37"/>
      <c r="F131" s="37"/>
      <c r="G131" s="37"/>
      <c r="H131" s="37"/>
      <c r="I131" s="37"/>
      <c r="J131" s="37"/>
      <c r="K131" s="37"/>
      <c r="L131" s="37"/>
    </row>
    <row r="132" spans="1:12">
      <c r="A132" s="37"/>
      <c r="B132" s="37"/>
      <c r="C132" s="37"/>
      <c r="D132" s="37"/>
      <c r="E132" s="37"/>
      <c r="F132" s="37"/>
      <c r="G132" s="37"/>
      <c r="H132" s="37"/>
      <c r="I132" s="37"/>
      <c r="J132" s="37"/>
      <c r="K132" s="37"/>
      <c r="L132" s="37"/>
    </row>
    <row r="133" spans="1:12">
      <c r="A133" s="37"/>
      <c r="B133" s="37"/>
      <c r="C133" s="37"/>
      <c r="D133" s="37"/>
      <c r="E133" s="37"/>
      <c r="F133" s="37"/>
      <c r="G133" s="37"/>
      <c r="H133" s="37"/>
      <c r="I133" s="37"/>
      <c r="J133" s="37"/>
      <c r="K133" s="37"/>
      <c r="L133" s="37"/>
    </row>
    <row r="134" spans="1:12">
      <c r="A134" s="37"/>
      <c r="B134" s="37"/>
      <c r="C134" s="37"/>
      <c r="D134" s="37"/>
      <c r="E134" s="37"/>
      <c r="F134" s="37"/>
      <c r="G134" s="37"/>
      <c r="H134" s="37"/>
      <c r="I134" s="37"/>
      <c r="J134" s="37"/>
      <c r="K134" s="37"/>
      <c r="L134" s="37"/>
    </row>
    <row r="135" spans="1:12">
      <c r="A135" s="37"/>
      <c r="B135" s="37"/>
      <c r="C135" s="37"/>
      <c r="D135" s="37"/>
      <c r="E135" s="37"/>
      <c r="F135" s="37"/>
      <c r="G135" s="37"/>
      <c r="H135" s="37"/>
      <c r="I135" s="37"/>
      <c r="J135" s="37"/>
      <c r="K135" s="37"/>
      <c r="L135" s="37"/>
    </row>
    <row r="136" spans="1:12">
      <c r="A136" s="37"/>
      <c r="B136" s="37"/>
      <c r="C136" s="37"/>
      <c r="D136" s="37"/>
      <c r="E136" s="37"/>
      <c r="F136" s="37"/>
      <c r="G136" s="37"/>
      <c r="H136" s="37"/>
      <c r="I136" s="37"/>
      <c r="J136" s="37"/>
      <c r="K136" s="37"/>
      <c r="L136" s="37"/>
    </row>
    <row r="137" spans="1:12">
      <c r="A137" s="37"/>
      <c r="B137" s="37"/>
      <c r="C137" s="37"/>
      <c r="D137" s="37"/>
      <c r="E137" s="37"/>
      <c r="F137" s="37"/>
      <c r="G137" s="37"/>
      <c r="H137" s="37"/>
      <c r="I137" s="37"/>
      <c r="J137" s="37"/>
      <c r="K137" s="37"/>
      <c r="L137" s="37"/>
    </row>
    <row r="138" spans="1:12">
      <c r="A138" s="37"/>
      <c r="B138" s="37"/>
      <c r="C138" s="37"/>
      <c r="D138" s="37"/>
      <c r="E138" s="37"/>
      <c r="F138" s="37"/>
      <c r="G138" s="37"/>
      <c r="H138" s="37"/>
      <c r="I138" s="37"/>
      <c r="J138" s="37"/>
      <c r="K138" s="37"/>
      <c r="L138" s="37"/>
    </row>
    <row r="139" spans="1:12">
      <c r="A139" s="37"/>
      <c r="B139" s="37"/>
      <c r="C139" s="37"/>
      <c r="D139" s="37"/>
      <c r="E139" s="37"/>
      <c r="F139" s="37"/>
      <c r="G139" s="37"/>
      <c r="H139" s="37"/>
      <c r="I139" s="37"/>
      <c r="J139" s="37"/>
      <c r="K139" s="37"/>
      <c r="L139" s="37"/>
    </row>
    <row r="140" spans="1:12">
      <c r="A140" s="37"/>
      <c r="B140" s="37"/>
      <c r="C140" s="37"/>
      <c r="D140" s="37"/>
      <c r="E140" s="37"/>
      <c r="F140" s="37"/>
      <c r="G140" s="37"/>
      <c r="H140" s="37"/>
      <c r="I140" s="37"/>
      <c r="J140" s="37"/>
      <c r="K140" s="37"/>
      <c r="L140" s="37"/>
    </row>
    <row r="141" spans="1:12">
      <c r="A141" s="37"/>
      <c r="B141" s="37"/>
      <c r="C141" s="37"/>
      <c r="D141" s="37"/>
      <c r="E141" s="37"/>
      <c r="F141" s="37"/>
      <c r="G141" s="37"/>
      <c r="H141" s="37"/>
      <c r="I141" s="37"/>
      <c r="J141" s="37"/>
      <c r="K141" s="37"/>
      <c r="L141" s="37"/>
    </row>
    <row r="142" spans="1:12">
      <c r="A142" s="37"/>
      <c r="B142" s="37"/>
      <c r="C142" s="37"/>
      <c r="D142" s="37"/>
      <c r="E142" s="37"/>
      <c r="F142" s="37"/>
      <c r="G142" s="37"/>
      <c r="H142" s="37"/>
      <c r="I142" s="37"/>
      <c r="J142" s="37"/>
      <c r="K142" s="37"/>
      <c r="L142" s="37"/>
    </row>
    <row r="143" spans="1:12">
      <c r="A143" s="37"/>
      <c r="B143" s="37"/>
      <c r="C143" s="37"/>
      <c r="D143" s="37"/>
      <c r="E143" s="37"/>
      <c r="F143" s="37"/>
      <c r="G143" s="37"/>
      <c r="H143" s="37"/>
      <c r="I143" s="37"/>
      <c r="J143" s="37"/>
      <c r="K143" s="37"/>
      <c r="L143" s="37"/>
    </row>
    <row r="144" spans="1:12">
      <c r="A144" s="37"/>
      <c r="B144" s="37"/>
      <c r="C144" s="37"/>
      <c r="D144" s="37"/>
      <c r="E144" s="37"/>
      <c r="F144" s="37"/>
      <c r="G144" s="37"/>
      <c r="H144" s="37"/>
      <c r="I144" s="37"/>
      <c r="J144" s="37"/>
      <c r="K144" s="37"/>
      <c r="L144" s="37"/>
    </row>
    <row r="145" spans="1:12">
      <c r="A145" s="37"/>
      <c r="B145" s="37"/>
      <c r="C145" s="37"/>
      <c r="D145" s="37"/>
      <c r="E145" s="37"/>
      <c r="F145" s="37"/>
      <c r="G145" s="37"/>
      <c r="H145" s="37"/>
      <c r="I145" s="37"/>
      <c r="J145" s="37"/>
      <c r="K145" s="37"/>
      <c r="L145" s="37"/>
    </row>
    <row r="146" spans="1:12">
      <c r="A146" s="37"/>
      <c r="B146" s="37"/>
      <c r="C146" s="37"/>
      <c r="D146" s="37"/>
      <c r="E146" s="37"/>
      <c r="F146" s="37"/>
      <c r="G146" s="37"/>
      <c r="H146" s="37"/>
      <c r="I146" s="37"/>
      <c r="J146" s="37"/>
      <c r="K146" s="37"/>
      <c r="L146" s="37"/>
    </row>
    <row r="147" spans="1:12">
      <c r="A147" s="37"/>
      <c r="B147" s="37"/>
      <c r="C147" s="37"/>
      <c r="D147" s="37"/>
      <c r="E147" s="37"/>
      <c r="F147" s="37"/>
      <c r="G147" s="37"/>
      <c r="H147" s="37"/>
      <c r="I147" s="37"/>
      <c r="J147" s="37"/>
      <c r="K147" s="37"/>
      <c r="L147" s="37"/>
    </row>
    <row r="148" spans="1:12">
      <c r="A148" s="37"/>
      <c r="B148" s="37"/>
      <c r="C148" s="37"/>
      <c r="D148" s="37"/>
      <c r="E148" s="37"/>
      <c r="F148" s="37"/>
      <c r="G148" s="37"/>
      <c r="H148" s="37"/>
      <c r="I148" s="37"/>
      <c r="J148" s="37"/>
      <c r="K148" s="37"/>
      <c r="L148" s="37"/>
    </row>
    <row r="149" spans="1:12">
      <c r="A149" s="37"/>
      <c r="B149" s="37"/>
      <c r="C149" s="37"/>
      <c r="D149" s="37"/>
      <c r="E149" s="37"/>
      <c r="F149" s="37"/>
      <c r="G149" s="37"/>
      <c r="H149" s="37"/>
      <c r="I149" s="37"/>
      <c r="J149" s="37"/>
      <c r="K149" s="37"/>
      <c r="L149" s="37"/>
    </row>
    <row r="150" spans="1:12">
      <c r="A150" s="37"/>
      <c r="B150" s="37"/>
      <c r="C150" s="37"/>
      <c r="D150" s="37"/>
      <c r="E150" s="37"/>
      <c r="F150" s="37"/>
      <c r="G150" s="37"/>
      <c r="H150" s="37"/>
      <c r="I150" s="37"/>
      <c r="J150" s="37"/>
      <c r="K150" s="37"/>
      <c r="L150" s="37"/>
    </row>
    <row r="151" spans="1:12">
      <c r="A151" s="37"/>
      <c r="B151" s="37"/>
      <c r="C151" s="37"/>
      <c r="D151" s="37"/>
      <c r="E151" s="37"/>
      <c r="F151" s="37"/>
      <c r="G151" s="37"/>
      <c r="H151" s="37"/>
      <c r="I151" s="37"/>
      <c r="J151" s="37"/>
      <c r="K151" s="37"/>
      <c r="L151" s="37"/>
    </row>
    <row r="152" spans="1:12">
      <c r="A152" s="37"/>
      <c r="B152" s="37"/>
      <c r="C152" s="37"/>
      <c r="D152" s="37"/>
      <c r="E152" s="37"/>
      <c r="F152" s="37"/>
      <c r="G152" s="37"/>
      <c r="H152" s="37"/>
      <c r="I152" s="37"/>
      <c r="J152" s="37"/>
      <c r="K152" s="37"/>
      <c r="L152" s="37"/>
    </row>
    <row r="153" spans="1:12">
      <c r="A153" s="37"/>
      <c r="B153" s="37"/>
      <c r="C153" s="37"/>
      <c r="D153" s="37"/>
      <c r="E153" s="37"/>
      <c r="F153" s="37"/>
      <c r="G153" s="37"/>
      <c r="H153" s="37"/>
      <c r="I153" s="37"/>
      <c r="J153" s="37"/>
      <c r="K153" s="37"/>
      <c r="L153" s="37"/>
    </row>
    <row r="154" spans="1:12">
      <c r="A154" s="37"/>
      <c r="B154" s="37"/>
      <c r="C154" s="37"/>
      <c r="D154" s="37"/>
      <c r="E154" s="37"/>
      <c r="F154" s="37"/>
      <c r="G154" s="37"/>
      <c r="H154" s="37"/>
      <c r="I154" s="37"/>
      <c r="J154" s="37"/>
      <c r="K154" s="37"/>
      <c r="L154" s="37"/>
    </row>
    <row r="155" spans="1:12">
      <c r="A155" s="37"/>
      <c r="B155" s="37"/>
      <c r="C155" s="37"/>
      <c r="D155" s="37"/>
      <c r="E155" s="37"/>
      <c r="F155" s="37"/>
      <c r="G155" s="37"/>
      <c r="H155" s="37"/>
      <c r="I155" s="37"/>
      <c r="J155" s="37"/>
      <c r="K155" s="37"/>
      <c r="L155" s="37"/>
    </row>
    <row r="156" spans="1:12">
      <c r="A156" s="37"/>
      <c r="B156" s="37"/>
      <c r="C156" s="37"/>
      <c r="D156" s="37"/>
      <c r="E156" s="37"/>
      <c r="F156" s="37"/>
      <c r="G156" s="37"/>
      <c r="H156" s="37"/>
      <c r="I156" s="37"/>
      <c r="J156" s="37"/>
      <c r="K156" s="37"/>
      <c r="L156" s="37"/>
    </row>
    <row r="157" spans="1:12">
      <c r="A157" s="37"/>
      <c r="B157" s="37"/>
      <c r="C157" s="37"/>
      <c r="D157" s="37"/>
      <c r="E157" s="37"/>
      <c r="F157" s="37"/>
      <c r="G157" s="37"/>
      <c r="H157" s="37"/>
      <c r="I157" s="37"/>
      <c r="J157" s="37"/>
      <c r="K157" s="37"/>
      <c r="L157" s="37"/>
    </row>
    <row r="158" spans="1:12">
      <c r="A158" s="37"/>
      <c r="B158" s="37"/>
      <c r="C158" s="37"/>
      <c r="D158" s="37"/>
      <c r="E158" s="37"/>
      <c r="F158" s="37"/>
      <c r="G158" s="37"/>
      <c r="H158" s="37"/>
      <c r="I158" s="37"/>
      <c r="J158" s="37"/>
      <c r="K158" s="37"/>
      <c r="L158" s="37"/>
    </row>
    <row r="159" spans="1:12">
      <c r="A159" s="37"/>
      <c r="B159" s="37"/>
      <c r="C159" s="37"/>
      <c r="D159" s="37"/>
      <c r="E159" s="37"/>
      <c r="F159" s="37"/>
      <c r="G159" s="37"/>
      <c r="H159" s="37"/>
      <c r="I159" s="37"/>
      <c r="J159" s="37"/>
      <c r="K159" s="37"/>
      <c r="L159" s="37"/>
    </row>
    <row r="160" spans="1:12">
      <c r="A160" s="37"/>
      <c r="B160" s="37"/>
      <c r="C160" s="37"/>
      <c r="D160" s="37"/>
      <c r="E160" s="37"/>
      <c r="F160" s="37"/>
      <c r="G160" s="37"/>
      <c r="H160" s="37"/>
      <c r="I160" s="37"/>
      <c r="J160" s="37"/>
      <c r="K160" s="37"/>
      <c r="L160" s="37"/>
    </row>
    <row r="161" spans="1:12">
      <c r="A161" s="37"/>
      <c r="B161" s="37"/>
      <c r="C161" s="37"/>
      <c r="D161" s="37"/>
      <c r="E161" s="37"/>
      <c r="F161" s="37"/>
      <c r="G161" s="37"/>
      <c r="H161" s="37"/>
      <c r="I161" s="37"/>
      <c r="J161" s="37"/>
      <c r="K161" s="37"/>
      <c r="L161" s="37"/>
    </row>
    <row r="162" spans="1:12">
      <c r="A162" s="37"/>
      <c r="B162" s="37"/>
      <c r="C162" s="37"/>
      <c r="D162" s="37"/>
      <c r="E162" s="37"/>
      <c r="F162" s="37"/>
      <c r="G162" s="37"/>
      <c r="H162" s="37"/>
      <c r="I162" s="37"/>
      <c r="J162" s="37"/>
      <c r="K162" s="37"/>
      <c r="L162" s="37"/>
    </row>
    <row r="163" spans="1:12">
      <c r="A163" s="37"/>
      <c r="B163" s="37"/>
      <c r="C163" s="37"/>
      <c r="D163" s="37"/>
      <c r="E163" s="37"/>
      <c r="F163" s="37"/>
      <c r="G163" s="37"/>
      <c r="H163" s="37"/>
      <c r="I163" s="37"/>
      <c r="J163" s="37"/>
      <c r="K163" s="37"/>
      <c r="L163" s="37"/>
    </row>
    <row r="164" spans="1:12">
      <c r="A164" s="37"/>
      <c r="B164" s="37"/>
      <c r="C164" s="37"/>
      <c r="D164" s="37"/>
      <c r="E164" s="37"/>
      <c r="F164" s="37"/>
      <c r="G164" s="37"/>
      <c r="H164" s="37"/>
      <c r="I164" s="37"/>
      <c r="J164" s="37"/>
      <c r="K164" s="37"/>
      <c r="L164" s="37"/>
    </row>
    <row r="165" spans="1:12">
      <c r="A165" s="37"/>
      <c r="B165" s="37"/>
      <c r="C165" s="37"/>
      <c r="D165" s="37"/>
      <c r="E165" s="37"/>
      <c r="F165" s="37"/>
      <c r="G165" s="37"/>
      <c r="H165" s="37"/>
      <c r="I165" s="37"/>
      <c r="J165" s="37"/>
      <c r="K165" s="37"/>
      <c r="L165" s="37"/>
    </row>
    <row r="166" spans="1:12">
      <c r="A166" s="37"/>
      <c r="B166" s="37"/>
      <c r="C166" s="37"/>
      <c r="D166" s="37"/>
      <c r="E166" s="37"/>
      <c r="F166" s="37"/>
      <c r="G166" s="37"/>
      <c r="H166" s="37"/>
      <c r="I166" s="37"/>
      <c r="J166" s="37"/>
      <c r="K166" s="37"/>
      <c r="L166" s="37"/>
    </row>
    <row r="167" spans="1:12">
      <c r="A167" s="37"/>
      <c r="B167" s="37"/>
      <c r="C167" s="37"/>
      <c r="D167" s="37"/>
      <c r="E167" s="37"/>
      <c r="F167" s="37"/>
      <c r="G167" s="37"/>
      <c r="H167" s="37"/>
      <c r="I167" s="37"/>
      <c r="J167" s="37"/>
      <c r="K167" s="37"/>
      <c r="L167" s="37"/>
    </row>
    <row r="168" spans="1:12">
      <c r="A168" s="37"/>
      <c r="B168" s="37"/>
      <c r="C168" s="37"/>
      <c r="D168" s="37"/>
      <c r="E168" s="37"/>
      <c r="F168" s="37"/>
      <c r="G168" s="37"/>
      <c r="H168" s="37"/>
      <c r="I168" s="37"/>
      <c r="J168" s="37"/>
      <c r="K168" s="37"/>
      <c r="L168" s="37"/>
    </row>
    <row r="169" spans="1:12">
      <c r="A169" s="37"/>
      <c r="B169" s="37"/>
      <c r="C169" s="37"/>
      <c r="D169" s="37"/>
      <c r="E169" s="37"/>
      <c r="F169" s="37"/>
      <c r="G169" s="37"/>
      <c r="H169" s="37"/>
      <c r="I169" s="37"/>
      <c r="J169" s="37"/>
      <c r="K169" s="37"/>
      <c r="L169" s="37"/>
    </row>
    <row r="170" spans="1:12">
      <c r="A170" s="37"/>
      <c r="B170" s="37"/>
      <c r="C170" s="37"/>
      <c r="D170" s="37"/>
      <c r="E170" s="37"/>
      <c r="F170" s="37"/>
      <c r="G170" s="37"/>
      <c r="H170" s="37"/>
      <c r="I170" s="37"/>
      <c r="J170" s="37"/>
      <c r="K170" s="37"/>
      <c r="L170" s="37"/>
    </row>
    <row r="171" spans="1:12">
      <c r="A171" s="37"/>
      <c r="B171" s="37"/>
      <c r="C171" s="37"/>
      <c r="D171" s="37"/>
      <c r="E171" s="37"/>
      <c r="F171" s="37"/>
      <c r="G171" s="37"/>
      <c r="H171" s="37"/>
      <c r="I171" s="37"/>
      <c r="J171" s="37"/>
      <c r="K171" s="37"/>
      <c r="L171" s="37"/>
    </row>
    <row r="172" spans="1:12">
      <c r="A172" s="37"/>
      <c r="B172" s="37"/>
      <c r="C172" s="37"/>
      <c r="D172" s="37"/>
      <c r="E172" s="37"/>
      <c r="F172" s="37"/>
      <c r="G172" s="37"/>
      <c r="H172" s="37"/>
      <c r="I172" s="37"/>
      <c r="J172" s="37"/>
      <c r="K172" s="37"/>
      <c r="L172" s="37"/>
    </row>
    <row r="173" spans="1:12">
      <c r="A173" s="37"/>
      <c r="B173" s="37"/>
      <c r="C173" s="37"/>
      <c r="D173" s="37"/>
      <c r="E173" s="37"/>
      <c r="F173" s="37"/>
      <c r="G173" s="37"/>
      <c r="H173" s="37"/>
      <c r="I173" s="37"/>
      <c r="J173" s="37"/>
      <c r="K173" s="37"/>
      <c r="L173" s="37"/>
    </row>
    <row r="174" spans="1:12">
      <c r="A174" s="37"/>
      <c r="B174" s="37"/>
      <c r="C174" s="37"/>
      <c r="D174" s="37"/>
      <c r="E174" s="37"/>
      <c r="F174" s="37"/>
      <c r="G174" s="37"/>
      <c r="H174" s="37"/>
      <c r="I174" s="37"/>
      <c r="J174" s="37"/>
      <c r="K174" s="37"/>
      <c r="L174" s="37"/>
    </row>
    <row r="175" spans="1:12">
      <c r="A175" s="37"/>
      <c r="B175" s="37"/>
      <c r="C175" s="37"/>
      <c r="D175" s="37"/>
      <c r="E175" s="37"/>
      <c r="F175" s="37"/>
      <c r="G175" s="37"/>
      <c r="H175" s="37"/>
      <c r="I175" s="37"/>
      <c r="J175" s="37"/>
      <c r="K175" s="37"/>
      <c r="L175" s="37"/>
    </row>
    <row r="176" spans="1:12">
      <c r="A176" s="37"/>
      <c r="B176" s="37"/>
      <c r="C176" s="37"/>
      <c r="D176" s="37"/>
      <c r="E176" s="37"/>
      <c r="F176" s="37"/>
      <c r="G176" s="37"/>
      <c r="H176" s="37"/>
      <c r="I176" s="37"/>
      <c r="J176" s="37"/>
      <c r="K176" s="37"/>
      <c r="L176" s="37"/>
    </row>
    <row r="177" spans="1:12">
      <c r="A177" s="37"/>
      <c r="B177" s="37"/>
      <c r="C177" s="37"/>
      <c r="D177" s="37"/>
      <c r="E177" s="37"/>
      <c r="F177" s="37"/>
      <c r="G177" s="37"/>
      <c r="H177" s="37"/>
      <c r="I177" s="37"/>
      <c r="J177" s="37"/>
      <c r="K177" s="37"/>
      <c r="L177" s="37"/>
    </row>
    <row r="178" spans="1:12">
      <c r="A178" s="37"/>
      <c r="B178" s="37"/>
      <c r="C178" s="37"/>
      <c r="D178" s="37"/>
      <c r="E178" s="37"/>
      <c r="F178" s="37"/>
      <c r="G178" s="37"/>
      <c r="H178" s="37"/>
      <c r="I178" s="37"/>
      <c r="J178" s="37"/>
      <c r="K178" s="37"/>
      <c r="L178" s="37"/>
    </row>
    <row r="179" spans="1:12">
      <c r="A179" s="37"/>
      <c r="B179" s="37"/>
      <c r="C179" s="37"/>
      <c r="D179" s="37"/>
      <c r="E179" s="37"/>
      <c r="F179" s="37"/>
      <c r="G179" s="37"/>
      <c r="H179" s="37"/>
      <c r="I179" s="37"/>
      <c r="J179" s="37"/>
      <c r="K179" s="37"/>
      <c r="L179" s="37"/>
    </row>
    <row r="180" spans="1:12">
      <c r="A180" s="37"/>
      <c r="B180" s="37"/>
      <c r="C180" s="37"/>
      <c r="D180" s="37"/>
      <c r="E180" s="37"/>
      <c r="F180" s="37"/>
      <c r="G180" s="37"/>
      <c r="H180" s="37"/>
      <c r="I180" s="37"/>
      <c r="J180" s="37"/>
      <c r="K180" s="37"/>
      <c r="L180" s="37"/>
    </row>
    <row r="181" spans="1:12">
      <c r="A181" s="37"/>
      <c r="B181" s="37"/>
      <c r="C181" s="37"/>
      <c r="D181" s="37"/>
      <c r="E181" s="37"/>
      <c r="F181" s="37"/>
      <c r="G181" s="37"/>
      <c r="H181" s="37"/>
      <c r="I181" s="37"/>
      <c r="J181" s="37"/>
      <c r="K181" s="37"/>
      <c r="L181" s="37"/>
    </row>
    <row r="182" spans="1:12">
      <c r="A182" s="37"/>
      <c r="B182" s="37"/>
      <c r="C182" s="37"/>
      <c r="D182" s="37"/>
      <c r="E182" s="37"/>
      <c r="F182" s="37"/>
      <c r="G182" s="37"/>
      <c r="H182" s="37"/>
      <c r="I182" s="37"/>
      <c r="J182" s="37"/>
      <c r="K182" s="37"/>
      <c r="L182" s="37"/>
    </row>
    <row r="183" spans="1:12">
      <c r="A183" s="37"/>
      <c r="B183" s="37"/>
      <c r="C183" s="37"/>
      <c r="D183" s="37"/>
      <c r="E183" s="37"/>
      <c r="F183" s="37"/>
      <c r="G183" s="37"/>
      <c r="H183" s="37"/>
      <c r="I183" s="37"/>
      <c r="J183" s="37"/>
      <c r="K183" s="37"/>
      <c r="L183" s="37"/>
    </row>
    <row r="184" spans="1:12">
      <c r="A184" s="37"/>
      <c r="B184" s="37"/>
      <c r="C184" s="37"/>
      <c r="D184" s="37"/>
      <c r="E184" s="37"/>
      <c r="F184" s="37"/>
      <c r="G184" s="37"/>
      <c r="H184" s="37"/>
      <c r="I184" s="37"/>
      <c r="J184" s="37"/>
      <c r="K184" s="37"/>
      <c r="L184" s="37"/>
    </row>
    <row r="185" spans="1:12">
      <c r="A185" s="37"/>
      <c r="B185" s="37"/>
      <c r="C185" s="37"/>
      <c r="D185" s="37"/>
      <c r="E185" s="37"/>
      <c r="F185" s="37"/>
      <c r="G185" s="37"/>
      <c r="H185" s="37"/>
      <c r="I185" s="37"/>
      <c r="J185" s="37"/>
      <c r="K185" s="37"/>
      <c r="L185" s="37"/>
    </row>
    <row r="186" spans="1:12">
      <c r="A186" s="37"/>
      <c r="B186" s="37"/>
      <c r="C186" s="37"/>
      <c r="D186" s="37"/>
      <c r="E186" s="37"/>
      <c r="F186" s="37"/>
      <c r="G186" s="37"/>
      <c r="H186" s="37"/>
      <c r="I186" s="37"/>
      <c r="J186" s="37"/>
      <c r="K186" s="37"/>
      <c r="L186" s="37"/>
    </row>
    <row r="187" spans="1:12">
      <c r="A187" s="37"/>
      <c r="B187" s="37"/>
      <c r="C187" s="37"/>
      <c r="D187" s="37"/>
      <c r="E187" s="37"/>
      <c r="F187" s="37"/>
      <c r="G187" s="37"/>
      <c r="H187" s="37"/>
      <c r="I187" s="37"/>
      <c r="J187" s="37"/>
      <c r="K187" s="37"/>
      <c r="L187" s="37"/>
    </row>
    <row r="188" spans="1:12">
      <c r="A188" s="37"/>
      <c r="B188" s="37"/>
      <c r="C188" s="37"/>
      <c r="D188" s="37"/>
      <c r="E188" s="37"/>
      <c r="F188" s="37"/>
      <c r="G188" s="37"/>
      <c r="H188" s="37"/>
      <c r="I188" s="37"/>
      <c r="J188" s="37"/>
      <c r="K188" s="37"/>
      <c r="L188" s="37"/>
    </row>
    <row r="189" spans="1:12">
      <c r="A189" s="37"/>
      <c r="B189" s="37"/>
      <c r="C189" s="37"/>
      <c r="D189" s="37"/>
      <c r="E189" s="37"/>
      <c r="F189" s="37"/>
      <c r="G189" s="37"/>
      <c r="H189" s="37"/>
      <c r="I189" s="37"/>
      <c r="J189" s="37"/>
      <c r="K189" s="37"/>
      <c r="L189" s="37"/>
    </row>
    <row r="190" spans="1:12">
      <c r="A190" s="37"/>
      <c r="B190" s="37"/>
      <c r="C190" s="37"/>
      <c r="D190" s="37"/>
      <c r="E190" s="37"/>
      <c r="F190" s="37"/>
      <c r="G190" s="37"/>
      <c r="H190" s="37"/>
      <c r="I190" s="37"/>
      <c r="J190" s="37"/>
      <c r="K190" s="37"/>
      <c r="L190" s="37"/>
    </row>
    <row r="191" spans="1:12">
      <c r="A191" s="37"/>
      <c r="B191" s="37"/>
      <c r="C191" s="37"/>
      <c r="D191" s="37"/>
      <c r="E191" s="37"/>
      <c r="F191" s="37"/>
      <c r="G191" s="37"/>
      <c r="H191" s="37"/>
      <c r="I191" s="37"/>
      <c r="J191" s="37"/>
      <c r="K191" s="37"/>
      <c r="L191" s="37"/>
    </row>
    <row r="192" spans="1:12">
      <c r="A192" s="37"/>
      <c r="B192" s="37"/>
      <c r="C192" s="37"/>
      <c r="D192" s="37"/>
      <c r="E192" s="37"/>
      <c r="F192" s="37"/>
      <c r="G192" s="37"/>
      <c r="H192" s="37"/>
      <c r="I192" s="37"/>
      <c r="J192" s="37"/>
      <c r="K192" s="37"/>
      <c r="L192" s="37"/>
    </row>
    <row r="193" spans="1:12">
      <c r="A193" s="37"/>
      <c r="B193" s="37"/>
      <c r="C193" s="37"/>
      <c r="D193" s="37"/>
      <c r="E193" s="37"/>
      <c r="F193" s="37"/>
      <c r="G193" s="37"/>
      <c r="H193" s="37"/>
      <c r="I193" s="37"/>
      <c r="J193" s="37"/>
      <c r="K193" s="37"/>
      <c r="L193" s="37"/>
    </row>
    <row r="194" spans="1:12">
      <c r="A194" s="37"/>
      <c r="B194" s="37"/>
      <c r="C194" s="37"/>
      <c r="D194" s="37"/>
      <c r="E194" s="37"/>
      <c r="F194" s="37"/>
      <c r="G194" s="37"/>
      <c r="H194" s="37"/>
      <c r="I194" s="37"/>
      <c r="J194" s="37"/>
      <c r="K194" s="37"/>
      <c r="L194" s="37"/>
    </row>
    <row r="195" spans="1:12">
      <c r="A195" s="37"/>
      <c r="B195" s="37"/>
      <c r="C195" s="37"/>
      <c r="D195" s="37"/>
      <c r="E195" s="37"/>
      <c r="F195" s="37"/>
      <c r="G195" s="37"/>
      <c r="H195" s="37"/>
      <c r="I195" s="37"/>
      <c r="J195" s="37"/>
      <c r="K195" s="37"/>
      <c r="L195" s="37"/>
    </row>
    <row r="196" spans="1:12">
      <c r="A196" s="37"/>
      <c r="B196" s="37"/>
      <c r="C196" s="37"/>
      <c r="D196" s="37"/>
      <c r="E196" s="37"/>
      <c r="F196" s="37"/>
      <c r="G196" s="37"/>
      <c r="H196" s="37"/>
      <c r="I196" s="37"/>
      <c r="J196" s="37"/>
      <c r="K196" s="37"/>
      <c r="L196" s="37"/>
    </row>
    <row r="197" spans="1:12">
      <c r="A197" s="37"/>
      <c r="B197" s="37"/>
      <c r="C197" s="37"/>
      <c r="D197" s="37"/>
      <c r="E197" s="37"/>
      <c r="F197" s="37"/>
      <c r="G197" s="37"/>
      <c r="H197" s="37"/>
      <c r="I197" s="37"/>
      <c r="J197" s="37"/>
      <c r="K197" s="37"/>
      <c r="L197" s="37"/>
    </row>
    <row r="198" spans="1:12">
      <c r="A198" s="37"/>
      <c r="B198" s="37"/>
      <c r="C198" s="37"/>
      <c r="D198" s="37"/>
      <c r="E198" s="37"/>
      <c r="F198" s="37"/>
      <c r="G198" s="37"/>
      <c r="H198" s="37"/>
      <c r="I198" s="37"/>
      <c r="J198" s="37"/>
      <c r="K198" s="37"/>
      <c r="L198" s="37"/>
    </row>
    <row r="199" spans="1:12">
      <c r="A199" s="37"/>
      <c r="B199" s="37"/>
      <c r="C199" s="37"/>
      <c r="D199" s="37"/>
      <c r="E199" s="37"/>
      <c r="F199" s="37"/>
      <c r="G199" s="37"/>
      <c r="H199" s="37"/>
      <c r="I199" s="37"/>
      <c r="J199" s="37"/>
      <c r="K199" s="37"/>
      <c r="L199" s="37"/>
    </row>
    <row r="200" spans="1:12">
      <c r="A200" s="37"/>
      <c r="B200" s="37"/>
      <c r="C200" s="37"/>
      <c r="D200" s="37"/>
      <c r="E200" s="37"/>
      <c r="F200" s="37"/>
      <c r="G200" s="37"/>
      <c r="H200" s="37"/>
      <c r="I200" s="37"/>
      <c r="J200" s="37"/>
      <c r="K200" s="37"/>
      <c r="L200" s="37"/>
    </row>
    <row r="201" spans="1:12">
      <c r="A201" s="37"/>
      <c r="B201" s="37"/>
      <c r="C201" s="37"/>
      <c r="D201" s="37"/>
      <c r="E201" s="37"/>
      <c r="F201" s="37"/>
      <c r="G201" s="37"/>
      <c r="H201" s="37"/>
      <c r="I201" s="37"/>
      <c r="J201" s="37"/>
      <c r="K201" s="37"/>
      <c r="L201" s="37"/>
    </row>
    <row r="202" spans="1:12">
      <c r="A202" s="37"/>
      <c r="B202" s="37"/>
      <c r="C202" s="37"/>
      <c r="D202" s="37"/>
      <c r="E202" s="37"/>
      <c r="F202" s="37"/>
      <c r="G202" s="37"/>
      <c r="H202" s="37"/>
      <c r="I202" s="37"/>
      <c r="J202" s="37"/>
      <c r="K202" s="37"/>
      <c r="L202" s="37"/>
    </row>
    <row r="203" spans="1:12">
      <c r="A203" s="37"/>
      <c r="B203" s="37"/>
      <c r="C203" s="37"/>
      <c r="D203" s="37"/>
      <c r="E203" s="37"/>
      <c r="F203" s="37"/>
      <c r="G203" s="37"/>
      <c r="H203" s="37"/>
      <c r="I203" s="37"/>
      <c r="J203" s="37"/>
      <c r="K203" s="37"/>
      <c r="L203" s="37"/>
    </row>
    <row r="204" spans="1:12">
      <c r="A204" s="37"/>
      <c r="B204" s="37"/>
      <c r="C204" s="37"/>
      <c r="D204" s="37"/>
      <c r="E204" s="37"/>
      <c r="F204" s="37"/>
      <c r="G204" s="37"/>
      <c r="H204" s="37"/>
      <c r="I204" s="37"/>
      <c r="J204" s="37"/>
      <c r="K204" s="37"/>
      <c r="L204" s="37"/>
    </row>
    <row r="205" spans="1:12">
      <c r="A205" s="37"/>
      <c r="B205" s="37"/>
      <c r="C205" s="37"/>
      <c r="D205" s="37"/>
      <c r="E205" s="37"/>
      <c r="F205" s="37"/>
      <c r="G205" s="37"/>
      <c r="H205" s="37"/>
      <c r="I205" s="37"/>
      <c r="J205" s="37"/>
      <c r="K205" s="37"/>
      <c r="L205" s="37"/>
    </row>
    <row r="206" spans="1:12">
      <c r="A206" s="37"/>
      <c r="B206" s="37"/>
      <c r="C206" s="37"/>
      <c r="D206" s="37"/>
      <c r="E206" s="37"/>
      <c r="F206" s="37"/>
      <c r="G206" s="37"/>
      <c r="H206" s="37"/>
      <c r="I206" s="37"/>
      <c r="J206" s="37"/>
      <c r="K206" s="37"/>
      <c r="L206" s="37"/>
    </row>
    <row r="207" spans="1:12">
      <c r="A207" s="37"/>
      <c r="B207" s="37"/>
      <c r="C207" s="37"/>
      <c r="D207" s="37"/>
      <c r="E207" s="37"/>
      <c r="F207" s="37"/>
      <c r="G207" s="37"/>
      <c r="H207" s="37"/>
      <c r="I207" s="37"/>
      <c r="J207" s="37"/>
      <c r="K207" s="37"/>
      <c r="L207" s="37"/>
    </row>
    <row r="208" spans="1:12">
      <c r="A208" s="37"/>
      <c r="B208" s="37"/>
      <c r="C208" s="37"/>
      <c r="D208" s="37"/>
      <c r="E208" s="37"/>
      <c r="F208" s="37"/>
      <c r="G208" s="37"/>
      <c r="H208" s="37"/>
      <c r="I208" s="37"/>
      <c r="J208" s="37"/>
      <c r="K208" s="37"/>
      <c r="L208" s="37"/>
    </row>
    <row r="209" spans="1:12">
      <c r="A209" s="37"/>
      <c r="B209" s="37"/>
      <c r="C209" s="37"/>
      <c r="D209" s="37"/>
      <c r="E209" s="37"/>
      <c r="F209" s="37"/>
      <c r="G209" s="37"/>
      <c r="H209" s="37"/>
      <c r="I209" s="37"/>
      <c r="J209" s="37"/>
      <c r="K209" s="37"/>
      <c r="L209" s="37"/>
    </row>
    <row r="210" spans="1:12">
      <c r="A210" s="37"/>
      <c r="B210" s="37"/>
      <c r="C210" s="37"/>
      <c r="D210" s="37"/>
      <c r="E210" s="37"/>
      <c r="F210" s="37"/>
      <c r="G210" s="37"/>
      <c r="H210" s="37"/>
      <c r="I210" s="37"/>
      <c r="J210" s="37"/>
      <c r="K210" s="37"/>
      <c r="L210" s="37"/>
    </row>
    <row r="211" spans="1:12">
      <c r="A211" s="37"/>
      <c r="B211" s="37"/>
      <c r="C211" s="37"/>
      <c r="D211" s="37"/>
      <c r="E211" s="37"/>
      <c r="F211" s="37"/>
      <c r="G211" s="37"/>
      <c r="H211" s="37"/>
      <c r="I211" s="37"/>
      <c r="J211" s="37"/>
      <c r="K211" s="37"/>
      <c r="L211" s="37"/>
    </row>
    <row r="212" spans="1:12">
      <c r="A212" s="37"/>
      <c r="B212" s="37"/>
      <c r="C212" s="37"/>
      <c r="D212" s="37"/>
      <c r="E212" s="37"/>
      <c r="F212" s="37"/>
      <c r="G212" s="37"/>
      <c r="H212" s="37"/>
      <c r="I212" s="37"/>
      <c r="J212" s="37"/>
      <c r="K212" s="37"/>
      <c r="L212" s="37"/>
    </row>
    <row r="213" spans="1:12">
      <c r="A213" s="37"/>
      <c r="B213" s="37"/>
      <c r="C213" s="37"/>
      <c r="D213" s="37"/>
      <c r="E213" s="37"/>
      <c r="F213" s="37"/>
      <c r="G213" s="37"/>
      <c r="H213" s="37"/>
      <c r="I213" s="37"/>
      <c r="J213" s="37"/>
      <c r="K213" s="37"/>
      <c r="L213" s="37"/>
    </row>
    <row r="214" spans="1:12">
      <c r="A214" s="37"/>
      <c r="B214" s="37"/>
      <c r="C214" s="37"/>
      <c r="D214" s="37"/>
      <c r="E214" s="37"/>
      <c r="F214" s="37"/>
      <c r="G214" s="37"/>
      <c r="H214" s="37"/>
      <c r="I214" s="37"/>
      <c r="J214" s="37"/>
      <c r="K214" s="37"/>
      <c r="L214" s="37"/>
    </row>
    <row r="215" spans="1:12">
      <c r="A215" s="37"/>
      <c r="B215" s="37"/>
      <c r="C215" s="37"/>
      <c r="D215" s="37"/>
      <c r="E215" s="37"/>
      <c r="F215" s="37"/>
      <c r="G215" s="37"/>
      <c r="H215" s="37"/>
      <c r="I215" s="37"/>
      <c r="J215" s="37"/>
      <c r="K215" s="37"/>
      <c r="L215" s="37"/>
    </row>
    <row r="216" spans="1:12">
      <c r="A216" s="37"/>
      <c r="B216" s="37"/>
      <c r="C216" s="37"/>
      <c r="D216" s="37"/>
      <c r="E216" s="37"/>
      <c r="F216" s="37"/>
      <c r="G216" s="37"/>
      <c r="H216" s="37"/>
      <c r="I216" s="37"/>
      <c r="J216" s="37"/>
      <c r="K216" s="37"/>
      <c r="L216" s="37"/>
    </row>
    <row r="217" spans="1:12">
      <c r="A217" s="37"/>
      <c r="B217" s="37"/>
      <c r="C217" s="37"/>
      <c r="D217" s="37"/>
      <c r="E217" s="37"/>
      <c r="F217" s="37"/>
      <c r="G217" s="37"/>
      <c r="H217" s="37"/>
      <c r="I217" s="37"/>
      <c r="J217" s="37"/>
      <c r="K217" s="37"/>
      <c r="L217" s="37"/>
    </row>
    <row r="218" spans="1:12">
      <c r="A218" s="37"/>
      <c r="B218" s="37"/>
      <c r="C218" s="37"/>
      <c r="D218" s="37"/>
      <c r="E218" s="37"/>
      <c r="F218" s="37"/>
      <c r="G218" s="37"/>
      <c r="H218" s="37"/>
      <c r="I218" s="37"/>
      <c r="J218" s="37"/>
      <c r="K218" s="37"/>
      <c r="L218" s="37"/>
    </row>
    <row r="219" spans="1:12">
      <c r="A219" s="37"/>
      <c r="B219" s="37"/>
      <c r="C219" s="37"/>
      <c r="D219" s="37"/>
      <c r="E219" s="37"/>
      <c r="F219" s="37"/>
      <c r="G219" s="37"/>
      <c r="H219" s="37"/>
      <c r="I219" s="37"/>
      <c r="J219" s="37"/>
      <c r="K219" s="37"/>
      <c r="L219" s="37"/>
    </row>
    <row r="220" spans="1:12">
      <c r="A220" s="37"/>
      <c r="B220" s="37"/>
      <c r="C220" s="37"/>
      <c r="D220" s="37"/>
      <c r="E220" s="37"/>
      <c r="F220" s="37"/>
      <c r="G220" s="37"/>
      <c r="H220" s="37"/>
      <c r="I220" s="37"/>
      <c r="J220" s="37"/>
      <c r="K220" s="37"/>
      <c r="L220" s="37"/>
    </row>
    <row r="221" spans="1:12">
      <c r="A221" s="37"/>
      <c r="B221" s="37"/>
      <c r="C221" s="37"/>
      <c r="D221" s="37"/>
      <c r="E221" s="37"/>
      <c r="F221" s="37"/>
      <c r="G221" s="37"/>
      <c r="H221" s="37"/>
      <c r="I221" s="37"/>
      <c r="J221" s="37"/>
      <c r="K221" s="37"/>
      <c r="L221" s="37"/>
    </row>
    <row r="222" spans="1:12">
      <c r="A222" s="37"/>
      <c r="B222" s="37"/>
      <c r="C222" s="37"/>
      <c r="D222" s="37"/>
      <c r="E222" s="37"/>
      <c r="F222" s="37"/>
      <c r="G222" s="37"/>
      <c r="H222" s="37"/>
      <c r="I222" s="37"/>
      <c r="J222" s="37"/>
      <c r="K222" s="37"/>
      <c r="L222" s="37"/>
    </row>
    <row r="223" spans="1:12">
      <c r="A223" s="37"/>
      <c r="B223" s="37"/>
      <c r="C223" s="37"/>
      <c r="D223" s="37"/>
      <c r="E223" s="37"/>
      <c r="F223" s="37"/>
      <c r="G223" s="37"/>
      <c r="H223" s="37"/>
      <c r="I223" s="37"/>
      <c r="J223" s="37"/>
      <c r="K223" s="37"/>
      <c r="L223" s="37"/>
    </row>
    <row r="224" spans="1:12">
      <c r="A224" s="37"/>
      <c r="B224" s="37"/>
      <c r="C224" s="37"/>
      <c r="D224" s="37"/>
      <c r="E224" s="37"/>
      <c r="F224" s="37"/>
      <c r="G224" s="37"/>
      <c r="H224" s="37"/>
      <c r="I224" s="37"/>
      <c r="J224" s="37"/>
      <c r="K224" s="37"/>
      <c r="L224" s="37"/>
    </row>
    <row r="225" spans="1:12">
      <c r="A225" s="37"/>
      <c r="B225" s="37"/>
      <c r="C225" s="37"/>
      <c r="D225" s="37"/>
      <c r="E225" s="37"/>
      <c r="F225" s="37"/>
      <c r="G225" s="37"/>
      <c r="H225" s="37"/>
      <c r="I225" s="37"/>
      <c r="J225" s="37"/>
      <c r="K225" s="37"/>
      <c r="L225" s="37"/>
    </row>
    <row r="226" spans="1:12">
      <c r="A226" s="37"/>
      <c r="B226" s="37"/>
      <c r="C226" s="37"/>
      <c r="D226" s="37"/>
      <c r="E226" s="37"/>
      <c r="F226" s="37"/>
      <c r="G226" s="37"/>
      <c r="H226" s="37"/>
      <c r="I226" s="37"/>
      <c r="J226" s="37"/>
      <c r="K226" s="37"/>
      <c r="L226" s="37"/>
    </row>
    <row r="227" spans="1:12">
      <c r="A227" s="37"/>
      <c r="B227" s="37"/>
      <c r="C227" s="37"/>
      <c r="D227" s="37"/>
      <c r="E227" s="37"/>
      <c r="F227" s="37"/>
      <c r="G227" s="37"/>
      <c r="H227" s="37"/>
      <c r="I227" s="37"/>
      <c r="J227" s="37"/>
      <c r="K227" s="37"/>
      <c r="L227" s="37"/>
    </row>
    <row r="228" spans="1:12">
      <c r="A228" s="37"/>
      <c r="B228" s="37"/>
      <c r="C228" s="37"/>
      <c r="D228" s="37"/>
      <c r="E228" s="37"/>
      <c r="F228" s="37"/>
      <c r="G228" s="37"/>
      <c r="H228" s="37"/>
      <c r="I228" s="37"/>
      <c r="J228" s="37"/>
      <c r="K228" s="37"/>
      <c r="L228" s="37"/>
    </row>
    <row r="229" spans="1:12">
      <c r="A229" s="37"/>
      <c r="B229" s="37"/>
      <c r="C229" s="37"/>
      <c r="D229" s="37"/>
      <c r="E229" s="37"/>
      <c r="F229" s="37"/>
      <c r="G229" s="37"/>
      <c r="H229" s="37"/>
      <c r="I229" s="37"/>
      <c r="J229" s="37"/>
      <c r="K229" s="37"/>
      <c r="L229" s="37"/>
    </row>
    <row r="230" spans="1:12">
      <c r="A230" s="37"/>
      <c r="B230" s="37"/>
      <c r="C230" s="37"/>
      <c r="D230" s="37"/>
      <c r="E230" s="37"/>
      <c r="F230" s="37"/>
      <c r="G230" s="37"/>
      <c r="H230" s="37"/>
      <c r="I230" s="37"/>
      <c r="J230" s="37"/>
      <c r="K230" s="37"/>
      <c r="L230" s="37"/>
    </row>
    <row r="231" spans="1:12">
      <c r="A231" s="37"/>
      <c r="B231" s="37"/>
      <c r="C231" s="37"/>
      <c r="D231" s="37"/>
      <c r="E231" s="37"/>
      <c r="F231" s="37"/>
      <c r="G231" s="37"/>
      <c r="H231" s="37"/>
      <c r="I231" s="37"/>
      <c r="J231" s="37"/>
      <c r="K231" s="37"/>
      <c r="L231" s="37"/>
    </row>
    <row r="232" spans="1:12">
      <c r="A232" s="37"/>
      <c r="B232" s="37"/>
      <c r="C232" s="37"/>
      <c r="D232" s="37"/>
      <c r="E232" s="37"/>
      <c r="F232" s="37"/>
      <c r="G232" s="37"/>
      <c r="H232" s="37"/>
      <c r="I232" s="37"/>
      <c r="J232" s="37"/>
      <c r="K232" s="37"/>
      <c r="L232" s="37"/>
    </row>
    <row r="233" spans="1:12">
      <c r="A233" s="37"/>
      <c r="B233" s="37"/>
      <c r="C233" s="37"/>
      <c r="D233" s="37"/>
      <c r="E233" s="37"/>
      <c r="F233" s="37"/>
      <c r="G233" s="37"/>
      <c r="H233" s="37"/>
      <c r="I233" s="37"/>
      <c r="J233" s="37"/>
      <c r="K233" s="37"/>
      <c r="L233" s="37"/>
    </row>
    <row r="234" spans="1:12">
      <c r="A234" s="37"/>
      <c r="B234" s="37"/>
      <c r="C234" s="37"/>
      <c r="D234" s="37"/>
      <c r="E234" s="37"/>
      <c r="F234" s="37"/>
      <c r="G234" s="37"/>
      <c r="H234" s="37"/>
      <c r="I234" s="37"/>
      <c r="J234" s="37"/>
      <c r="K234" s="37"/>
      <c r="L234" s="37"/>
    </row>
    <row r="235" spans="1:12">
      <c r="A235" s="37"/>
      <c r="B235" s="37"/>
      <c r="C235" s="37"/>
      <c r="D235" s="37"/>
      <c r="E235" s="37"/>
      <c r="F235" s="37"/>
      <c r="G235" s="37"/>
      <c r="H235" s="37"/>
      <c r="I235" s="37"/>
      <c r="J235" s="37"/>
      <c r="K235" s="37"/>
      <c r="L235" s="37"/>
    </row>
    <row r="236" spans="1:12">
      <c r="A236" s="37"/>
      <c r="B236" s="37"/>
      <c r="C236" s="37"/>
      <c r="D236" s="37"/>
      <c r="E236" s="37"/>
      <c r="F236" s="37"/>
      <c r="G236" s="37"/>
      <c r="H236" s="37"/>
      <c r="I236" s="37"/>
      <c r="J236" s="37"/>
      <c r="K236" s="37"/>
      <c r="L236" s="37"/>
    </row>
    <row r="237" spans="1:12">
      <c r="A237" s="37"/>
      <c r="B237" s="37"/>
      <c r="C237" s="37"/>
      <c r="D237" s="37"/>
      <c r="E237" s="37"/>
      <c r="F237" s="37"/>
      <c r="G237" s="37"/>
      <c r="H237" s="37"/>
      <c r="I237" s="37"/>
      <c r="J237" s="37"/>
      <c r="K237" s="37"/>
      <c r="L237" s="37"/>
    </row>
    <row r="238" spans="1:12">
      <c r="A238" s="37"/>
      <c r="B238" s="37"/>
      <c r="C238" s="37"/>
      <c r="D238" s="37"/>
      <c r="E238" s="37"/>
      <c r="F238" s="37"/>
      <c r="G238" s="37"/>
      <c r="H238" s="37"/>
      <c r="I238" s="37"/>
      <c r="J238" s="37"/>
      <c r="K238" s="37"/>
      <c r="L238" s="37"/>
    </row>
    <row r="239" spans="1:12">
      <c r="A239" s="37"/>
      <c r="B239" s="37"/>
      <c r="C239" s="37"/>
      <c r="D239" s="37"/>
      <c r="E239" s="37"/>
      <c r="F239" s="37"/>
      <c r="G239" s="37"/>
      <c r="H239" s="37"/>
      <c r="I239" s="37"/>
      <c r="J239" s="37"/>
      <c r="K239" s="37"/>
      <c r="L239" s="37"/>
    </row>
    <row r="240" spans="1:12">
      <c r="A240" s="37"/>
      <c r="B240" s="37"/>
      <c r="C240" s="37"/>
      <c r="D240" s="37"/>
      <c r="E240" s="37"/>
      <c r="F240" s="37"/>
      <c r="G240" s="37"/>
      <c r="H240" s="37"/>
      <c r="I240" s="37"/>
      <c r="J240" s="37"/>
      <c r="K240" s="37"/>
      <c r="L240" s="37"/>
    </row>
    <row r="241" spans="1:12">
      <c r="A241" s="37"/>
      <c r="B241" s="37"/>
      <c r="C241" s="37"/>
      <c r="D241" s="37"/>
      <c r="E241" s="37"/>
      <c r="F241" s="37"/>
      <c r="G241" s="37"/>
      <c r="H241" s="37"/>
      <c r="I241" s="37"/>
      <c r="J241" s="37"/>
      <c r="K241" s="37"/>
      <c r="L241" s="37"/>
    </row>
    <row r="242" spans="1:12">
      <c r="A242" s="37"/>
      <c r="B242" s="37"/>
      <c r="C242" s="37"/>
      <c r="D242" s="37"/>
      <c r="E242" s="37"/>
      <c r="F242" s="37"/>
      <c r="G242" s="37"/>
      <c r="H242" s="37"/>
      <c r="I242" s="37"/>
      <c r="J242" s="37"/>
      <c r="K242" s="37"/>
      <c r="L242" s="37"/>
    </row>
    <row r="243" spans="1:12">
      <c r="A243" s="37"/>
      <c r="B243" s="37"/>
      <c r="C243" s="37"/>
      <c r="D243" s="37"/>
      <c r="E243" s="37"/>
      <c r="F243" s="37"/>
      <c r="G243" s="37"/>
      <c r="H243" s="37"/>
      <c r="I243" s="37"/>
      <c r="J243" s="37"/>
      <c r="K243" s="37"/>
      <c r="L243" s="37"/>
    </row>
    <row r="244" spans="1:12">
      <c r="A244" s="37"/>
      <c r="B244" s="37"/>
      <c r="C244" s="37"/>
      <c r="D244" s="37"/>
      <c r="E244" s="37"/>
      <c r="F244" s="37"/>
      <c r="G244" s="37"/>
      <c r="H244" s="37"/>
      <c r="I244" s="37"/>
      <c r="J244" s="37"/>
      <c r="K244" s="37"/>
      <c r="L244" s="37"/>
    </row>
    <row r="245" spans="1:12">
      <c r="A245" s="37"/>
      <c r="B245" s="37"/>
      <c r="C245" s="37"/>
      <c r="D245" s="37"/>
      <c r="E245" s="37"/>
      <c r="F245" s="37"/>
      <c r="G245" s="37"/>
      <c r="H245" s="37"/>
      <c r="I245" s="37"/>
      <c r="J245" s="37"/>
      <c r="K245" s="37"/>
      <c r="L245" s="37"/>
    </row>
    <row r="246" spans="1:12">
      <c r="A246" s="37"/>
      <c r="B246" s="37"/>
      <c r="C246" s="37"/>
      <c r="D246" s="37"/>
      <c r="E246" s="37"/>
      <c r="F246" s="37"/>
      <c r="G246" s="37"/>
      <c r="H246" s="37"/>
      <c r="I246" s="37"/>
      <c r="J246" s="37"/>
      <c r="K246" s="37"/>
      <c r="L246" s="37"/>
    </row>
    <row r="247" spans="1:12">
      <c r="A247" s="37"/>
      <c r="B247" s="37"/>
      <c r="C247" s="37"/>
      <c r="D247" s="37"/>
      <c r="E247" s="37"/>
      <c r="F247" s="37"/>
      <c r="G247" s="37"/>
      <c r="H247" s="37"/>
      <c r="I247" s="37"/>
      <c r="J247" s="37"/>
      <c r="K247" s="37"/>
      <c r="L247" s="37"/>
    </row>
    <row r="248" spans="1:12">
      <c r="A248" s="37"/>
      <c r="B248" s="37"/>
      <c r="C248" s="37"/>
      <c r="D248" s="37"/>
      <c r="E248" s="37"/>
      <c r="F248" s="37"/>
      <c r="G248" s="37"/>
      <c r="H248" s="37"/>
      <c r="I248" s="37"/>
      <c r="J248" s="37"/>
      <c r="K248" s="37"/>
      <c r="L248" s="37"/>
    </row>
    <row r="249" spans="1:12">
      <c r="A249" s="37"/>
      <c r="B249" s="37"/>
      <c r="C249" s="37"/>
      <c r="D249" s="37"/>
      <c r="E249" s="37"/>
      <c r="F249" s="37"/>
      <c r="G249" s="37"/>
      <c r="H249" s="37"/>
      <c r="I249" s="37"/>
      <c r="J249" s="37"/>
      <c r="K249" s="37"/>
      <c r="L249" s="37"/>
    </row>
    <row r="250" spans="1:12">
      <c r="A250" s="37"/>
      <c r="B250" s="37"/>
      <c r="C250" s="37"/>
      <c r="D250" s="37"/>
      <c r="E250" s="37"/>
      <c r="F250" s="37"/>
      <c r="G250" s="37"/>
      <c r="H250" s="37"/>
      <c r="I250" s="37"/>
      <c r="J250" s="37"/>
      <c r="K250" s="37"/>
      <c r="L250" s="37"/>
    </row>
    <row r="251" spans="1:12">
      <c r="A251" s="37"/>
      <c r="B251" s="37"/>
      <c r="C251" s="37"/>
      <c r="D251" s="37"/>
      <c r="E251" s="37"/>
      <c r="F251" s="37"/>
      <c r="G251" s="37"/>
      <c r="H251" s="37"/>
      <c r="I251" s="37"/>
      <c r="J251" s="37"/>
      <c r="K251" s="37"/>
      <c r="L251" s="37"/>
    </row>
    <row r="252" spans="1:12">
      <c r="A252" s="37"/>
      <c r="B252" s="37"/>
      <c r="C252" s="37"/>
      <c r="D252" s="37"/>
      <c r="E252" s="37"/>
      <c r="F252" s="37"/>
      <c r="G252" s="37"/>
      <c r="H252" s="37"/>
      <c r="I252" s="37"/>
      <c r="J252" s="37"/>
      <c r="K252" s="37"/>
      <c r="L252" s="37"/>
    </row>
    <row r="253" spans="1:12">
      <c r="A253" s="37"/>
      <c r="B253" s="37"/>
      <c r="C253" s="37"/>
      <c r="D253" s="37"/>
      <c r="E253" s="37"/>
      <c r="F253" s="37"/>
      <c r="G253" s="37"/>
      <c r="H253" s="37"/>
      <c r="I253" s="37"/>
      <c r="J253" s="37"/>
      <c r="K253" s="37"/>
      <c r="L253" s="37"/>
    </row>
    <row r="254" spans="1:12">
      <c r="A254" s="37"/>
      <c r="B254" s="37"/>
      <c r="C254" s="37"/>
      <c r="D254" s="37"/>
      <c r="E254" s="37"/>
      <c r="F254" s="37"/>
      <c r="G254" s="37"/>
      <c r="H254" s="37"/>
      <c r="I254" s="37"/>
      <c r="J254" s="37"/>
      <c r="K254" s="37"/>
      <c r="L254" s="37"/>
    </row>
    <row r="255" spans="1:12">
      <c r="A255" s="37"/>
      <c r="B255" s="37"/>
      <c r="C255" s="37"/>
      <c r="D255" s="37"/>
      <c r="E255" s="37"/>
      <c r="F255" s="37"/>
      <c r="G255" s="37"/>
      <c r="H255" s="37"/>
      <c r="I255" s="37"/>
      <c r="J255" s="37"/>
      <c r="K255" s="37"/>
      <c r="L255" s="37"/>
    </row>
    <row r="256" spans="1:12">
      <c r="A256" s="37"/>
      <c r="B256" s="37"/>
      <c r="C256" s="37"/>
      <c r="D256" s="37"/>
      <c r="E256" s="37"/>
      <c r="F256" s="37"/>
      <c r="G256" s="37"/>
      <c r="H256" s="37"/>
      <c r="I256" s="37"/>
      <c r="J256" s="37"/>
      <c r="K256" s="37"/>
      <c r="L256" s="37"/>
    </row>
    <row r="257" spans="1:12">
      <c r="A257" s="37"/>
      <c r="B257" s="37"/>
      <c r="C257" s="37"/>
      <c r="D257" s="37"/>
      <c r="E257" s="37"/>
      <c r="F257" s="37"/>
      <c r="G257" s="37"/>
      <c r="H257" s="37"/>
      <c r="I257" s="37"/>
      <c r="J257" s="37"/>
      <c r="K257" s="37"/>
      <c r="L257" s="37"/>
    </row>
    <row r="258" spans="1:12">
      <c r="A258" s="37"/>
      <c r="B258" s="37"/>
      <c r="C258" s="37"/>
      <c r="D258" s="37"/>
      <c r="E258" s="37"/>
      <c r="F258" s="37"/>
      <c r="G258" s="37"/>
      <c r="H258" s="37"/>
      <c r="I258" s="37"/>
      <c r="J258" s="37"/>
      <c r="K258" s="37"/>
      <c r="L258" s="37"/>
    </row>
    <row r="259" spans="1:12">
      <c r="A259" s="37"/>
      <c r="B259" s="37"/>
      <c r="C259" s="37"/>
      <c r="D259" s="37"/>
      <c r="E259" s="37"/>
      <c r="F259" s="37"/>
      <c r="G259" s="37"/>
      <c r="H259" s="37"/>
      <c r="I259" s="37"/>
      <c r="J259" s="37"/>
      <c r="K259" s="37"/>
      <c r="L259" s="37"/>
    </row>
    <row r="260" spans="1:12">
      <c r="A260" s="37"/>
      <c r="B260" s="37"/>
      <c r="C260" s="37"/>
      <c r="D260" s="37"/>
      <c r="E260" s="37"/>
      <c r="F260" s="37"/>
      <c r="G260" s="37"/>
      <c r="H260" s="37"/>
      <c r="I260" s="37"/>
      <c r="J260" s="37"/>
      <c r="K260" s="37"/>
      <c r="L260" s="37"/>
    </row>
    <row r="261" spans="1:12">
      <c r="A261" s="37"/>
      <c r="B261" s="37"/>
      <c r="C261" s="37"/>
      <c r="D261" s="37"/>
      <c r="E261" s="37"/>
      <c r="F261" s="37"/>
      <c r="G261" s="37"/>
      <c r="H261" s="37"/>
      <c r="I261" s="37"/>
      <c r="J261" s="37"/>
      <c r="K261" s="37"/>
      <c r="L261" s="37"/>
    </row>
    <row r="262" spans="1:12">
      <c r="A262" s="37"/>
      <c r="B262" s="37"/>
      <c r="C262" s="37"/>
      <c r="D262" s="37"/>
      <c r="E262" s="37"/>
      <c r="F262" s="37"/>
      <c r="G262" s="37"/>
      <c r="H262" s="37"/>
      <c r="I262" s="37"/>
      <c r="J262" s="37"/>
      <c r="K262" s="37"/>
      <c r="L262" s="37"/>
    </row>
    <row r="263" spans="1:12">
      <c r="A263" s="37"/>
      <c r="B263" s="37"/>
      <c r="C263" s="37"/>
      <c r="D263" s="37"/>
      <c r="E263" s="37"/>
      <c r="F263" s="37"/>
      <c r="G263" s="37"/>
      <c r="H263" s="37"/>
      <c r="I263" s="37"/>
      <c r="J263" s="37"/>
      <c r="K263" s="37"/>
      <c r="L263" s="37"/>
    </row>
    <row r="264" spans="1:12">
      <c r="A264" s="37"/>
      <c r="B264" s="37"/>
      <c r="C264" s="37"/>
      <c r="D264" s="37"/>
      <c r="E264" s="37"/>
      <c r="F264" s="37"/>
      <c r="G264" s="37"/>
      <c r="H264" s="37"/>
      <c r="I264" s="37"/>
      <c r="J264" s="37"/>
      <c r="K264" s="37"/>
      <c r="L264" s="37"/>
    </row>
    <row r="265" spans="1:12">
      <c r="A265" s="37"/>
      <c r="B265" s="37"/>
      <c r="C265" s="37"/>
      <c r="D265" s="37"/>
      <c r="E265" s="37"/>
      <c r="F265" s="37"/>
      <c r="G265" s="37"/>
      <c r="H265" s="37"/>
      <c r="I265" s="37"/>
      <c r="J265" s="37"/>
      <c r="K265" s="37"/>
      <c r="L265" s="37"/>
    </row>
    <row r="266" spans="1:12">
      <c r="A266" s="37"/>
      <c r="B266" s="37"/>
      <c r="C266" s="37"/>
      <c r="D266" s="37"/>
      <c r="E266" s="37"/>
      <c r="F266" s="37"/>
      <c r="G266" s="37"/>
      <c r="H266" s="37"/>
      <c r="I266" s="37"/>
      <c r="J266" s="37"/>
      <c r="K266" s="37"/>
      <c r="L266" s="37"/>
    </row>
    <row r="267" spans="1:12">
      <c r="A267" s="37"/>
      <c r="B267" s="37"/>
      <c r="C267" s="37"/>
      <c r="D267" s="37"/>
      <c r="E267" s="37"/>
      <c r="F267" s="37"/>
      <c r="G267" s="37"/>
      <c r="H267" s="37"/>
      <c r="I267" s="37"/>
      <c r="J267" s="37"/>
      <c r="K267" s="37"/>
      <c r="L267" s="37"/>
    </row>
    <row r="268" spans="1:12">
      <c r="A268" s="37"/>
      <c r="B268" s="37"/>
      <c r="C268" s="37"/>
      <c r="D268" s="37"/>
      <c r="E268" s="37"/>
      <c r="F268" s="37"/>
      <c r="G268" s="37"/>
      <c r="H268" s="37"/>
      <c r="I268" s="37"/>
      <c r="J268" s="37"/>
      <c r="K268" s="37"/>
      <c r="L268" s="37"/>
    </row>
    <row r="269" spans="1:12">
      <c r="A269" s="37"/>
      <c r="B269" s="37"/>
      <c r="C269" s="37"/>
      <c r="D269" s="37"/>
      <c r="E269" s="37"/>
      <c r="F269" s="37"/>
      <c r="G269" s="37"/>
      <c r="H269" s="37"/>
      <c r="I269" s="37"/>
      <c r="J269" s="37"/>
      <c r="K269" s="37"/>
      <c r="L269" s="37"/>
    </row>
    <row r="270" spans="1:12">
      <c r="A270" s="37"/>
      <c r="B270" s="37"/>
      <c r="C270" s="37"/>
      <c r="D270" s="37"/>
      <c r="E270" s="37"/>
      <c r="F270" s="37"/>
      <c r="G270" s="37"/>
      <c r="H270" s="37"/>
      <c r="I270" s="37"/>
      <c r="J270" s="37"/>
      <c r="K270" s="37"/>
      <c r="L270" s="37"/>
    </row>
    <row r="271" spans="1:12">
      <c r="A271" s="37"/>
      <c r="B271" s="37"/>
      <c r="C271" s="37"/>
      <c r="D271" s="37"/>
      <c r="E271" s="37"/>
      <c r="F271" s="37"/>
      <c r="G271" s="37"/>
      <c r="H271" s="37"/>
      <c r="I271" s="37"/>
      <c r="J271" s="37"/>
      <c r="K271" s="37"/>
      <c r="L271" s="37"/>
    </row>
    <row r="272" spans="1:12">
      <c r="A272" s="37"/>
      <c r="B272" s="37"/>
      <c r="C272" s="37"/>
      <c r="D272" s="37"/>
      <c r="E272" s="37"/>
      <c r="F272" s="37"/>
      <c r="G272" s="37"/>
      <c r="H272" s="37"/>
      <c r="I272" s="37"/>
      <c r="J272" s="37"/>
      <c r="K272" s="37"/>
      <c r="L272" s="37"/>
    </row>
    <row r="273" spans="1:12">
      <c r="A273" s="37"/>
      <c r="B273" s="37"/>
      <c r="C273" s="37"/>
      <c r="D273" s="37"/>
      <c r="E273" s="37"/>
      <c r="F273" s="37"/>
      <c r="G273" s="37"/>
      <c r="H273" s="37"/>
      <c r="I273" s="37"/>
      <c r="J273" s="37"/>
      <c r="K273" s="37"/>
      <c r="L273" s="37"/>
    </row>
  </sheetData>
  <mergeCells count="5">
    <mergeCell ref="A3:L3"/>
    <mergeCell ref="C7:I7"/>
    <mergeCell ref="B48:L48"/>
    <mergeCell ref="H51:I51"/>
    <mergeCell ref="B90:L90"/>
  </mergeCells>
  <pageMargins left="0.7" right="0.7" top="0.75" bottom="0.75" header="0.3" footer="0.3"/>
  <pageSetup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4011D-C4AE-40AD-AFC9-1F9771DD2F17}">
  <dimension ref="A1:AC185"/>
  <sheetViews>
    <sheetView zoomScaleNormal="100" workbookViewId="0"/>
  </sheetViews>
  <sheetFormatPr defaultColWidth="9.109375" defaultRowHeight="15.6"/>
  <cols>
    <col min="1" max="1" width="10.33203125" style="1" customWidth="1"/>
    <col min="2" max="12" width="12.33203125" style="1" customWidth="1"/>
    <col min="13"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26" ht="15.75" customHeight="1">
      <c r="A1" s="23" t="s">
        <v>42</v>
      </c>
      <c r="B1" s="22"/>
      <c r="C1" s="5" t="s">
        <v>38</v>
      </c>
      <c r="D1" s="22"/>
      <c r="E1" s="22"/>
      <c r="F1" s="22"/>
      <c r="G1" s="22"/>
      <c r="H1" s="22"/>
      <c r="I1" s="22"/>
      <c r="J1" s="22"/>
      <c r="K1" s="2"/>
      <c r="L1" s="2"/>
      <c r="M1" s="2"/>
      <c r="N1"/>
      <c r="O1"/>
      <c r="P1"/>
      <c r="Q1"/>
      <c r="R1"/>
      <c r="S1"/>
      <c r="T1"/>
      <c r="U1"/>
      <c r="V1"/>
      <c r="W1"/>
      <c r="X1"/>
      <c r="Y1"/>
      <c r="Z1"/>
    </row>
    <row r="2" spans="1:26" ht="15.75" customHeight="1">
      <c r="A2" s="23"/>
      <c r="B2" s="22"/>
      <c r="C2" s="160" t="s">
        <v>290</v>
      </c>
      <c r="D2" s="166"/>
      <c r="E2" s="166"/>
      <c r="F2" s="166"/>
      <c r="G2" s="166"/>
      <c r="H2" s="166"/>
      <c r="I2" s="166"/>
      <c r="J2" s="166"/>
      <c r="K2" s="166"/>
      <c r="L2" s="165"/>
      <c r="M2" s="165"/>
      <c r="N2"/>
      <c r="O2"/>
      <c r="P2"/>
      <c r="Q2"/>
      <c r="R2"/>
      <c r="S2"/>
      <c r="T2"/>
      <c r="U2"/>
      <c r="V2"/>
      <c r="W2"/>
      <c r="X2"/>
      <c r="Y2"/>
      <c r="Z2"/>
    </row>
    <row r="3" spans="1:26" ht="15.75" customHeight="1">
      <c r="A3" s="21"/>
      <c r="B3" s="3"/>
      <c r="C3" s="3"/>
      <c r="D3" s="3"/>
      <c r="E3" s="3"/>
      <c r="F3" s="3"/>
      <c r="G3" s="3"/>
      <c r="H3" s="19"/>
      <c r="I3" s="19"/>
      <c r="J3" s="4"/>
      <c r="K3" s="4"/>
      <c r="L3" s="4"/>
      <c r="M3" s="4"/>
      <c r="N3"/>
      <c r="O3"/>
      <c r="P3"/>
      <c r="Q3"/>
      <c r="R3"/>
      <c r="S3"/>
      <c r="T3"/>
      <c r="U3"/>
      <c r="V3"/>
      <c r="W3"/>
      <c r="X3"/>
      <c r="Y3"/>
      <c r="Z3"/>
    </row>
    <row r="4" spans="1:26">
      <c r="A4" s="21" t="s">
        <v>192</v>
      </c>
      <c r="B4" s="3"/>
      <c r="C4" s="3"/>
      <c r="D4" s="3"/>
      <c r="E4" s="3"/>
      <c r="F4" s="3"/>
      <c r="G4" s="2"/>
      <c r="H4" s="2"/>
      <c r="I4" s="2"/>
      <c r="J4" s="2"/>
      <c r="K4" s="2"/>
      <c r="L4" s="2"/>
      <c r="M4" s="2"/>
      <c r="W4"/>
      <c r="X4"/>
      <c r="Y4"/>
      <c r="Z4"/>
    </row>
    <row r="5" spans="1:26" ht="16.2">
      <c r="A5" s="5"/>
      <c r="B5" s="3"/>
      <c r="C5" s="3"/>
      <c r="D5" s="3"/>
      <c r="E5" s="3"/>
      <c r="F5" s="3"/>
      <c r="G5" s="2"/>
      <c r="H5" s="2"/>
      <c r="I5" s="2"/>
      <c r="J5" s="2"/>
      <c r="K5" s="2"/>
      <c r="L5" s="2"/>
      <c r="M5" s="2"/>
      <c r="W5"/>
      <c r="X5"/>
      <c r="Y5"/>
      <c r="Z5"/>
    </row>
    <row r="6" spans="1:26" ht="37.5" customHeight="1">
      <c r="A6" s="83" t="s">
        <v>31</v>
      </c>
      <c r="B6" s="83" t="s">
        <v>29</v>
      </c>
      <c r="C6" s="83" t="s">
        <v>116</v>
      </c>
      <c r="D6" s="84" t="s">
        <v>27</v>
      </c>
      <c r="E6" s="83" t="s">
        <v>26</v>
      </c>
      <c r="F6" s="83" t="s">
        <v>25</v>
      </c>
      <c r="G6" s="2"/>
      <c r="H6" s="2"/>
      <c r="I6" s="2"/>
      <c r="J6" s="2"/>
      <c r="K6" s="2"/>
      <c r="L6" s="2"/>
      <c r="M6" s="2"/>
      <c r="W6"/>
      <c r="X6"/>
      <c r="Y6"/>
      <c r="Z6"/>
    </row>
    <row r="7" spans="1:26">
      <c r="A7" s="11">
        <v>2019</v>
      </c>
      <c r="B7" s="11">
        <v>0</v>
      </c>
      <c r="C7" s="11">
        <v>12</v>
      </c>
      <c r="D7" s="12">
        <v>3100</v>
      </c>
      <c r="E7" s="11">
        <v>48</v>
      </c>
      <c r="F7" s="10">
        <v>7100</v>
      </c>
      <c r="G7" s="2"/>
      <c r="H7" s="2"/>
      <c r="I7" s="2"/>
      <c r="J7" s="2"/>
      <c r="K7" s="2"/>
      <c r="L7" s="2"/>
      <c r="M7" s="2"/>
      <c r="W7"/>
      <c r="X7"/>
      <c r="Y7"/>
      <c r="Z7"/>
    </row>
    <row r="8" spans="1:26" ht="15.75" customHeight="1">
      <c r="A8" s="11">
        <v>2019</v>
      </c>
      <c r="B8" s="11">
        <v>12</v>
      </c>
      <c r="C8" s="11">
        <v>24</v>
      </c>
      <c r="D8" s="12">
        <v>2400</v>
      </c>
      <c r="E8" s="11">
        <v>48</v>
      </c>
      <c r="F8" s="10">
        <v>7100</v>
      </c>
      <c r="G8" s="2"/>
      <c r="H8" s="2"/>
      <c r="I8" s="2"/>
      <c r="J8" s="2"/>
      <c r="K8" s="2"/>
      <c r="L8" s="2"/>
      <c r="M8" s="2"/>
      <c r="W8"/>
      <c r="X8"/>
      <c r="Y8"/>
      <c r="Z8"/>
    </row>
    <row r="9" spans="1:26">
      <c r="A9" s="11">
        <v>2019</v>
      </c>
      <c r="B9" s="11">
        <v>24</v>
      </c>
      <c r="C9" s="11">
        <v>36</v>
      </c>
      <c r="D9" s="12">
        <v>1100</v>
      </c>
      <c r="E9" s="11">
        <v>48</v>
      </c>
      <c r="F9" s="10">
        <v>7100</v>
      </c>
      <c r="G9" s="2"/>
      <c r="H9" s="2"/>
      <c r="I9" s="2"/>
      <c r="J9" s="2"/>
      <c r="K9" s="2"/>
      <c r="L9" s="2"/>
      <c r="M9" s="2"/>
      <c r="W9"/>
      <c r="X9"/>
      <c r="Y9"/>
      <c r="Z9"/>
    </row>
    <row r="10" spans="1:26">
      <c r="A10" s="11">
        <v>2019</v>
      </c>
      <c r="B10" s="11">
        <v>36</v>
      </c>
      <c r="C10" s="11">
        <v>48</v>
      </c>
      <c r="D10" s="12">
        <v>500</v>
      </c>
      <c r="E10" s="11">
        <v>48</v>
      </c>
      <c r="F10" s="10">
        <v>7100</v>
      </c>
      <c r="G10" s="2"/>
      <c r="H10" s="2"/>
      <c r="I10" s="2"/>
      <c r="J10" s="2"/>
      <c r="K10" s="2"/>
      <c r="L10" s="2"/>
      <c r="M10" s="2"/>
      <c r="W10"/>
      <c r="X10"/>
      <c r="Y10"/>
      <c r="Z10"/>
    </row>
    <row r="11" spans="1:26">
      <c r="A11" s="11">
        <v>2020</v>
      </c>
      <c r="B11" s="11">
        <v>0</v>
      </c>
      <c r="C11" s="11">
        <v>12</v>
      </c>
      <c r="D11" s="12">
        <v>2300</v>
      </c>
      <c r="E11" s="11">
        <v>36</v>
      </c>
      <c r="F11" s="10">
        <v>3800</v>
      </c>
      <c r="G11" s="2"/>
      <c r="H11" s="2"/>
      <c r="I11" s="2"/>
      <c r="J11" s="2"/>
      <c r="K11" s="2"/>
      <c r="L11" s="2"/>
      <c r="M11" s="2"/>
      <c r="W11"/>
      <c r="X11"/>
      <c r="Y11"/>
      <c r="Z11"/>
    </row>
    <row r="12" spans="1:26" ht="15.75" customHeight="1">
      <c r="A12" s="11">
        <v>2020</v>
      </c>
      <c r="B12" s="11">
        <v>12</v>
      </c>
      <c r="C12" s="11">
        <v>24</v>
      </c>
      <c r="D12" s="12">
        <v>600</v>
      </c>
      <c r="E12" s="11">
        <v>36</v>
      </c>
      <c r="F12" s="10">
        <v>3800</v>
      </c>
      <c r="G12" s="2"/>
      <c r="H12" s="2"/>
      <c r="I12" s="2"/>
      <c r="J12" s="2"/>
      <c r="K12" s="2"/>
      <c r="L12" s="2"/>
      <c r="M12" s="2"/>
      <c r="W12"/>
      <c r="X12"/>
      <c r="Y12"/>
      <c r="Z12"/>
    </row>
    <row r="13" spans="1:26">
      <c r="A13" s="11">
        <v>2020</v>
      </c>
      <c r="B13" s="11">
        <v>24</v>
      </c>
      <c r="C13" s="11">
        <v>36</v>
      </c>
      <c r="D13" s="12">
        <v>900</v>
      </c>
      <c r="E13" s="11">
        <v>36</v>
      </c>
      <c r="F13" s="10">
        <v>3800</v>
      </c>
      <c r="G13" s="2"/>
      <c r="H13" s="2"/>
      <c r="I13" s="2"/>
      <c r="J13" s="2"/>
      <c r="K13" s="2"/>
      <c r="L13" s="2"/>
      <c r="M13" s="2"/>
      <c r="W13"/>
      <c r="X13"/>
      <c r="Y13"/>
      <c r="Z13"/>
    </row>
    <row r="14" spans="1:26">
      <c r="A14" s="11">
        <v>2021</v>
      </c>
      <c r="B14" s="11">
        <v>0</v>
      </c>
      <c r="C14" s="11">
        <v>12</v>
      </c>
      <c r="D14" s="12">
        <v>3200</v>
      </c>
      <c r="E14" s="11">
        <v>24</v>
      </c>
      <c r="F14" s="10">
        <v>6000</v>
      </c>
      <c r="G14" s="2"/>
      <c r="H14" s="2"/>
      <c r="I14" s="2"/>
      <c r="J14" s="2"/>
      <c r="K14" s="2"/>
      <c r="L14" s="2"/>
      <c r="M14" s="2"/>
      <c r="W14"/>
      <c r="X14"/>
      <c r="Y14"/>
      <c r="Z14"/>
    </row>
    <row r="15" spans="1:26">
      <c r="A15" s="11">
        <v>2021</v>
      </c>
      <c r="B15" s="11">
        <v>12</v>
      </c>
      <c r="C15" s="11">
        <v>24</v>
      </c>
      <c r="D15" s="12">
        <v>2800</v>
      </c>
      <c r="E15" s="11">
        <v>24</v>
      </c>
      <c r="F15" s="10">
        <v>6000</v>
      </c>
      <c r="G15" s="2"/>
      <c r="H15" s="2"/>
      <c r="I15" s="2"/>
      <c r="J15" s="2"/>
      <c r="K15" s="2"/>
      <c r="L15" s="2"/>
      <c r="M15" s="2"/>
      <c r="W15"/>
      <c r="X15"/>
      <c r="Y15"/>
      <c r="Z15"/>
    </row>
    <row r="16" spans="1:26">
      <c r="A16" s="11">
        <v>2022</v>
      </c>
      <c r="B16" s="11">
        <v>0</v>
      </c>
      <c r="C16" s="11">
        <v>12</v>
      </c>
      <c r="D16" s="12">
        <v>3600</v>
      </c>
      <c r="E16" s="11">
        <v>12</v>
      </c>
      <c r="F16" s="10">
        <v>3600</v>
      </c>
      <c r="G16" s="2"/>
      <c r="H16" s="2"/>
      <c r="I16" s="2"/>
      <c r="J16" s="2"/>
      <c r="K16" s="2"/>
      <c r="L16" s="2"/>
      <c r="M16" s="2"/>
      <c r="W16"/>
      <c r="X16"/>
      <c r="Y16"/>
      <c r="Z16"/>
    </row>
    <row r="17" spans="1:26">
      <c r="A17" s="3"/>
      <c r="B17" s="3"/>
      <c r="C17" s="3"/>
      <c r="D17" s="3"/>
      <c r="E17" s="3"/>
      <c r="F17" s="3"/>
      <c r="G17" s="2"/>
      <c r="H17" s="2"/>
      <c r="I17" s="2"/>
      <c r="J17" s="2"/>
      <c r="K17" s="2"/>
      <c r="L17" s="2"/>
      <c r="M17" s="2"/>
      <c r="W17"/>
      <c r="X17"/>
      <c r="Y17"/>
      <c r="Z17"/>
    </row>
    <row r="18" spans="1:26">
      <c r="A18" s="3" t="s">
        <v>190</v>
      </c>
      <c r="B18" s="3"/>
      <c r="C18" s="3"/>
      <c r="D18" s="3"/>
      <c r="E18" s="3"/>
      <c r="F18" s="3"/>
      <c r="G18" s="2"/>
      <c r="H18" s="2"/>
      <c r="I18" s="2"/>
      <c r="J18" s="2"/>
      <c r="K18" s="2"/>
      <c r="L18" s="2"/>
      <c r="M18" s="2"/>
      <c r="W18"/>
      <c r="X18"/>
      <c r="Y18"/>
      <c r="Z18"/>
    </row>
    <row r="19" spans="1:26">
      <c r="A19" s="3"/>
      <c r="B19" s="3"/>
      <c r="C19" s="3"/>
      <c r="D19" s="3"/>
      <c r="E19" s="3"/>
      <c r="F19" s="3"/>
      <c r="G19" s="2"/>
      <c r="H19" s="2"/>
      <c r="I19" s="2"/>
      <c r="J19" s="2"/>
      <c r="K19" s="2"/>
      <c r="L19" s="2"/>
      <c r="M19" s="2"/>
      <c r="W19"/>
      <c r="X19"/>
      <c r="Y19"/>
      <c r="Z19"/>
    </row>
    <row r="20" spans="1:26" ht="31.2">
      <c r="A20" s="134" t="s">
        <v>31</v>
      </c>
      <c r="B20" s="134" t="s">
        <v>30</v>
      </c>
      <c r="C20" s="3"/>
      <c r="D20" s="3"/>
      <c r="E20" s="3"/>
      <c r="F20" s="3"/>
      <c r="G20" s="2"/>
      <c r="H20" s="2"/>
      <c r="I20" s="2"/>
      <c r="J20" s="2"/>
      <c r="K20" s="2"/>
      <c r="L20" s="2"/>
      <c r="M20" s="2"/>
      <c r="W20"/>
      <c r="X20"/>
      <c r="Y20"/>
      <c r="Z20"/>
    </row>
    <row r="21" spans="1:26">
      <c r="A21" s="11">
        <v>2019</v>
      </c>
      <c r="B21" s="273">
        <v>10000</v>
      </c>
      <c r="C21" s="3"/>
      <c r="D21" s="3"/>
      <c r="E21" s="3"/>
      <c r="F21" s="3"/>
      <c r="G21" s="2"/>
      <c r="H21" s="2"/>
      <c r="I21" s="2"/>
      <c r="J21" s="2"/>
      <c r="K21" s="2"/>
      <c r="L21" s="2"/>
      <c r="M21" s="2"/>
      <c r="W21"/>
      <c r="X21"/>
      <c r="Y21"/>
      <c r="Z21"/>
    </row>
    <row r="22" spans="1:26">
      <c r="A22" s="11">
        <v>2020</v>
      </c>
      <c r="B22" s="273">
        <v>12000</v>
      </c>
      <c r="C22" s="3"/>
      <c r="D22" s="3"/>
      <c r="E22" s="3"/>
      <c r="F22" s="3"/>
      <c r="G22" s="3"/>
      <c r="H22" s="3"/>
      <c r="I22" s="2"/>
      <c r="J22" s="2"/>
      <c r="K22" s="2"/>
      <c r="L22" s="2"/>
      <c r="M22" s="2"/>
      <c r="N22"/>
      <c r="O22"/>
      <c r="P22"/>
      <c r="Q22"/>
      <c r="R22"/>
      <c r="S22"/>
      <c r="T22"/>
      <c r="U22"/>
      <c r="V22"/>
      <c r="W22"/>
      <c r="X22"/>
      <c r="Y22"/>
      <c r="Z22"/>
    </row>
    <row r="23" spans="1:26">
      <c r="A23" s="164">
        <v>2021</v>
      </c>
      <c r="B23" s="273">
        <v>15000</v>
      </c>
      <c r="C23" s="3"/>
      <c r="D23" s="3"/>
      <c r="E23" s="2"/>
      <c r="F23" s="2"/>
      <c r="G23" s="2"/>
      <c r="H23" s="2"/>
      <c r="I23" s="2"/>
      <c r="J23" s="2"/>
      <c r="K23" s="2"/>
      <c r="L23" s="2"/>
      <c r="M23" s="2"/>
      <c r="N23"/>
      <c r="O23"/>
      <c r="P23"/>
      <c r="Q23"/>
      <c r="R23"/>
      <c r="S23"/>
      <c r="T23"/>
      <c r="U23"/>
      <c r="V23"/>
      <c r="W23"/>
      <c r="X23"/>
      <c r="Y23"/>
      <c r="Z23"/>
    </row>
    <row r="24" spans="1:26">
      <c r="A24" s="11">
        <v>2022</v>
      </c>
      <c r="B24" s="273">
        <v>18000</v>
      </c>
      <c r="C24" s="2"/>
      <c r="D24" s="2"/>
      <c r="E24" s="2"/>
      <c r="F24" s="2"/>
      <c r="G24" s="2"/>
      <c r="H24" s="2"/>
      <c r="I24" s="2"/>
      <c r="J24" s="2"/>
      <c r="K24" s="2"/>
      <c r="L24" s="2"/>
      <c r="M24" s="2"/>
      <c r="N24"/>
      <c r="O24"/>
      <c r="P24"/>
      <c r="Q24"/>
      <c r="R24"/>
      <c r="S24"/>
      <c r="T24"/>
      <c r="U24"/>
      <c r="V24"/>
      <c r="W24"/>
      <c r="X24"/>
      <c r="Y24"/>
      <c r="Z24"/>
    </row>
    <row r="25" spans="1:26">
      <c r="A25" s="163"/>
      <c r="B25" s="74"/>
      <c r="C25" s="2"/>
      <c r="D25" s="2"/>
      <c r="E25" s="2"/>
      <c r="F25" s="2"/>
      <c r="G25" s="2"/>
      <c r="H25" s="2"/>
      <c r="I25" s="2"/>
      <c r="J25" s="2"/>
      <c r="K25" s="2"/>
      <c r="L25" s="2"/>
      <c r="M25" s="2"/>
      <c r="N25"/>
      <c r="O25"/>
      <c r="P25"/>
      <c r="Q25"/>
      <c r="R25"/>
      <c r="S25"/>
      <c r="T25"/>
      <c r="U25"/>
      <c r="V25"/>
      <c r="W25"/>
      <c r="X25"/>
      <c r="Y25"/>
      <c r="Z25"/>
    </row>
    <row r="26" spans="1:26">
      <c r="A26" s="162" t="s">
        <v>289</v>
      </c>
      <c r="B26" s="74"/>
      <c r="C26" s="2"/>
      <c r="D26" s="2"/>
      <c r="E26" s="2"/>
      <c r="F26" s="2"/>
      <c r="G26" s="2"/>
      <c r="H26" s="2"/>
      <c r="I26" s="2"/>
      <c r="J26" s="2"/>
      <c r="K26" s="2"/>
      <c r="L26" s="2"/>
      <c r="M26" s="2"/>
      <c r="N26"/>
      <c r="O26"/>
      <c r="P26"/>
      <c r="Q26"/>
      <c r="R26"/>
      <c r="S26"/>
      <c r="T26"/>
      <c r="U26"/>
      <c r="V26"/>
      <c r="W26"/>
      <c r="X26"/>
      <c r="Y26"/>
      <c r="Z26"/>
    </row>
    <row r="27" spans="1:26" ht="18.600000000000001">
      <c r="A27" s="162" t="s">
        <v>288</v>
      </c>
      <c r="B27" s="74"/>
      <c r="C27" s="2"/>
      <c r="D27" s="2"/>
      <c r="E27" s="2"/>
      <c r="F27" s="2"/>
      <c r="G27" s="2"/>
      <c r="H27" s="2"/>
      <c r="I27" s="2"/>
      <c r="J27" s="2"/>
      <c r="K27" s="2"/>
      <c r="L27" s="2"/>
      <c r="M27" s="2"/>
      <c r="N27"/>
      <c r="O27"/>
      <c r="P27"/>
      <c r="Q27"/>
      <c r="R27"/>
      <c r="S27"/>
      <c r="T27"/>
      <c r="U27"/>
      <c r="V27"/>
      <c r="W27"/>
      <c r="X27"/>
      <c r="Y27"/>
      <c r="Z27"/>
    </row>
    <row r="28" spans="1:26">
      <c r="A28" s="162"/>
      <c r="B28" s="74"/>
      <c r="C28" s="2"/>
      <c r="D28" s="2"/>
      <c r="E28" s="2"/>
      <c r="F28" s="2"/>
      <c r="G28" s="2"/>
      <c r="H28" s="2"/>
      <c r="I28" s="2"/>
      <c r="J28" s="2"/>
      <c r="K28" s="2"/>
      <c r="L28" s="2"/>
      <c r="M28" s="2"/>
      <c r="N28"/>
      <c r="O28"/>
      <c r="P28"/>
      <c r="Q28"/>
      <c r="R28"/>
      <c r="S28"/>
      <c r="T28"/>
      <c r="U28"/>
      <c r="V28"/>
      <c r="W28"/>
      <c r="X28"/>
      <c r="Y28"/>
      <c r="Z28"/>
    </row>
    <row r="29" spans="1:26">
      <c r="A29" s="162" t="s">
        <v>287</v>
      </c>
      <c r="B29" s="74"/>
      <c r="C29" s="2"/>
      <c r="D29" s="2"/>
      <c r="E29" s="2"/>
      <c r="F29" s="2"/>
      <c r="G29" s="2"/>
      <c r="H29" s="2"/>
      <c r="I29" s="2"/>
      <c r="J29" s="2"/>
      <c r="K29" s="2"/>
      <c r="L29" s="2"/>
      <c r="M29" s="2"/>
      <c r="N29"/>
      <c r="O29"/>
      <c r="P29"/>
      <c r="Q29"/>
      <c r="R29"/>
      <c r="S29"/>
      <c r="T29"/>
      <c r="U29"/>
      <c r="V29"/>
      <c r="W29"/>
      <c r="X29"/>
      <c r="Y29"/>
      <c r="Z29"/>
    </row>
    <row r="30" spans="1:26">
      <c r="A30" s="3"/>
      <c r="B30" s="161"/>
      <c r="C30" s="2"/>
      <c r="D30" s="2"/>
      <c r="E30" s="2"/>
      <c r="F30" s="2"/>
      <c r="G30" s="2"/>
      <c r="H30" s="2"/>
      <c r="I30" s="2"/>
      <c r="J30" s="2"/>
      <c r="K30" s="2"/>
      <c r="L30" s="2"/>
      <c r="M30" s="2"/>
      <c r="N30"/>
      <c r="O30"/>
      <c r="P30"/>
      <c r="Q30"/>
      <c r="R30"/>
      <c r="S30"/>
      <c r="T30"/>
      <c r="U30"/>
      <c r="V30"/>
      <c r="W30"/>
      <c r="X30"/>
      <c r="Y30"/>
      <c r="Z30"/>
    </row>
    <row r="31" spans="1:26">
      <c r="A31" s="3" t="s">
        <v>80</v>
      </c>
      <c r="B31" s="3" t="s">
        <v>286</v>
      </c>
      <c r="C31" s="3"/>
      <c r="D31" s="3"/>
      <c r="E31" s="3"/>
      <c r="F31" s="3"/>
      <c r="G31" s="3"/>
      <c r="H31" s="3"/>
      <c r="I31" s="2"/>
      <c r="J31" s="2"/>
      <c r="K31" s="2"/>
      <c r="L31" s="2"/>
      <c r="M31" s="2"/>
      <c r="N31"/>
      <c r="O31"/>
      <c r="P31"/>
      <c r="Q31"/>
      <c r="R31"/>
      <c r="S31"/>
      <c r="T31"/>
      <c r="U31"/>
      <c r="V31"/>
      <c r="W31"/>
      <c r="X31"/>
      <c r="Y31"/>
      <c r="Z31"/>
    </row>
    <row r="32" spans="1:26" ht="16.2">
      <c r="A32" s="3"/>
      <c r="B32" s="160" t="s">
        <v>185</v>
      </c>
      <c r="C32" s="159"/>
      <c r="D32" s="159"/>
      <c r="E32" s="159"/>
      <c r="F32" s="158"/>
      <c r="G32" s="158"/>
      <c r="H32" s="158"/>
      <c r="I32" s="158"/>
      <c r="J32" s="158"/>
      <c r="K32" s="158"/>
      <c r="L32" s="159"/>
      <c r="M32" s="3"/>
      <c r="N32"/>
      <c r="O32"/>
      <c r="P32"/>
      <c r="Q32"/>
      <c r="R32"/>
      <c r="S32"/>
      <c r="T32"/>
      <c r="U32"/>
      <c r="V32"/>
      <c r="W32"/>
      <c r="X32"/>
      <c r="Y32"/>
      <c r="Z32"/>
    </row>
    <row r="33" spans="1:29">
      <c r="A33" s="3"/>
      <c r="B33" s="44"/>
      <c r="C33" s="44"/>
      <c r="D33" s="44"/>
      <c r="E33" s="44"/>
      <c r="F33" s="44"/>
      <c r="G33" s="44"/>
      <c r="H33" s="44"/>
      <c r="I33" s="44"/>
      <c r="J33" s="44"/>
      <c r="K33" s="44"/>
      <c r="L33" s="44"/>
      <c r="M33" s="44"/>
      <c r="N33"/>
      <c r="O33"/>
      <c r="P33"/>
      <c r="Q33"/>
      <c r="R33"/>
      <c r="S33"/>
      <c r="T33"/>
      <c r="U33"/>
      <c r="V33"/>
      <c r="W33"/>
      <c r="X33"/>
      <c r="Y33"/>
      <c r="Z33"/>
    </row>
    <row r="34" spans="1:29">
      <c r="A34" s="3" t="s">
        <v>285</v>
      </c>
      <c r="B34" s="44"/>
      <c r="C34" s="44"/>
      <c r="D34" s="44"/>
      <c r="E34" s="44"/>
      <c r="F34" s="44"/>
      <c r="G34" s="44"/>
      <c r="H34" s="44"/>
      <c r="I34" s="44"/>
      <c r="J34" s="44"/>
      <c r="K34" s="44"/>
      <c r="L34" s="44"/>
      <c r="M34" s="44"/>
      <c r="N34"/>
      <c r="O34"/>
      <c r="P34"/>
      <c r="Q34"/>
      <c r="R34"/>
      <c r="S34"/>
      <c r="T34"/>
      <c r="U34"/>
      <c r="V34"/>
      <c r="W34"/>
      <c r="X34"/>
      <c r="Y34"/>
      <c r="Z34"/>
    </row>
    <row r="35" spans="1:29">
      <c r="A35" s="44"/>
      <c r="B35" s="44"/>
      <c r="C35" s="44"/>
      <c r="D35" s="44"/>
      <c r="E35" s="44"/>
      <c r="F35" s="44"/>
      <c r="G35" s="44"/>
      <c r="H35" s="44"/>
      <c r="I35" s="44"/>
      <c r="J35" s="44"/>
      <c r="K35" s="44"/>
      <c r="L35" s="44"/>
      <c r="M35" s="44"/>
      <c r="N35"/>
      <c r="O35"/>
      <c r="P35"/>
      <c r="Q35"/>
      <c r="R35"/>
      <c r="S35"/>
      <c r="T35"/>
      <c r="U35"/>
      <c r="V35"/>
      <c r="W35"/>
      <c r="X35"/>
      <c r="Y35"/>
      <c r="Z35"/>
    </row>
    <row r="36" spans="1:29">
      <c r="A36" s="3" t="s">
        <v>9</v>
      </c>
      <c r="B36" s="3" t="s">
        <v>284</v>
      </c>
      <c r="C36" s="3"/>
      <c r="D36" s="3"/>
      <c r="E36" s="3"/>
      <c r="F36" s="3"/>
      <c r="G36" s="3"/>
      <c r="H36" s="3"/>
      <c r="I36" s="2"/>
      <c r="J36" s="2"/>
      <c r="K36" s="2"/>
      <c r="L36" s="2"/>
      <c r="M36" s="2"/>
      <c r="N36"/>
      <c r="O36"/>
      <c r="P36"/>
      <c r="Q36"/>
      <c r="R36"/>
      <c r="S36"/>
      <c r="T36"/>
      <c r="U36"/>
      <c r="V36"/>
      <c r="W36"/>
      <c r="X36"/>
      <c r="Y36"/>
      <c r="Z36"/>
    </row>
    <row r="37" spans="1:29" ht="16.2">
      <c r="A37" s="3"/>
      <c r="B37" s="160" t="s">
        <v>185</v>
      </c>
      <c r="C37" s="159"/>
      <c r="D37" s="159"/>
      <c r="E37" s="159"/>
      <c r="F37" s="158"/>
      <c r="G37" s="158"/>
      <c r="H37" s="158"/>
      <c r="I37" s="158"/>
      <c r="J37" s="158"/>
      <c r="K37" s="158"/>
      <c r="L37" s="138"/>
      <c r="M37" s="2"/>
      <c r="N37"/>
      <c r="O37"/>
      <c r="P37"/>
      <c r="Q37"/>
      <c r="R37"/>
      <c r="S37"/>
      <c r="T37"/>
      <c r="U37"/>
      <c r="V37"/>
      <c r="W37"/>
      <c r="X37"/>
      <c r="Y37"/>
      <c r="Z37"/>
    </row>
    <row r="38" spans="1:29" ht="16.2">
      <c r="A38" s="3"/>
      <c r="B38" s="5"/>
      <c r="C38" s="3"/>
      <c r="D38" s="3"/>
      <c r="E38" s="3"/>
      <c r="F38" s="156"/>
      <c r="G38" s="156"/>
      <c r="H38" s="156"/>
      <c r="I38" s="156"/>
      <c r="J38" s="156"/>
      <c r="K38" s="156"/>
      <c r="L38" s="2"/>
      <c r="M38" s="2"/>
      <c r="N38"/>
      <c r="O38"/>
      <c r="P38"/>
      <c r="Q38"/>
      <c r="R38"/>
      <c r="S38"/>
      <c r="T38"/>
      <c r="U38"/>
      <c r="V38"/>
      <c r="W38"/>
      <c r="X38"/>
      <c r="Y38"/>
      <c r="Z38"/>
    </row>
    <row r="39" spans="1:29">
      <c r="A39" s="3" t="s">
        <v>7</v>
      </c>
      <c r="B39" s="3" t="s">
        <v>283</v>
      </c>
      <c r="C39" s="3"/>
      <c r="D39" s="3"/>
      <c r="E39" s="3"/>
      <c r="F39" s="3"/>
      <c r="G39" s="3"/>
      <c r="H39" s="3"/>
      <c r="I39" s="2"/>
      <c r="J39" s="2"/>
      <c r="K39" s="2"/>
      <c r="L39" s="2"/>
      <c r="M39" s="2"/>
      <c r="N39"/>
      <c r="O39"/>
      <c r="P39"/>
      <c r="Q39"/>
      <c r="R39"/>
      <c r="S39"/>
      <c r="T39"/>
      <c r="U39"/>
      <c r="V39"/>
      <c r="W39"/>
      <c r="X39"/>
      <c r="Y39"/>
      <c r="Z39"/>
    </row>
    <row r="40" spans="1:29" ht="16.2">
      <c r="A40" s="3"/>
      <c r="B40" s="160" t="s">
        <v>185</v>
      </c>
      <c r="C40" s="159"/>
      <c r="D40" s="159"/>
      <c r="E40" s="159"/>
      <c r="F40" s="158"/>
      <c r="G40" s="158"/>
      <c r="H40" s="158"/>
      <c r="I40" s="158"/>
      <c r="J40" s="158"/>
      <c r="K40" s="158"/>
      <c r="L40" s="138"/>
      <c r="M40" s="2"/>
      <c r="N40"/>
      <c r="O40"/>
      <c r="P40"/>
      <c r="Q40"/>
      <c r="R40"/>
      <c r="S40"/>
      <c r="T40"/>
      <c r="U40"/>
      <c r="V40"/>
      <c r="W40"/>
      <c r="X40"/>
      <c r="Y40"/>
      <c r="Z40"/>
    </row>
    <row r="41" spans="1:29" ht="16.2">
      <c r="A41" s="3"/>
      <c r="B41" s="5"/>
      <c r="C41" s="3"/>
      <c r="D41" s="3"/>
      <c r="E41" s="3"/>
      <c r="F41" s="156"/>
      <c r="G41" s="156"/>
      <c r="H41" s="156"/>
      <c r="I41" s="156"/>
      <c r="J41" s="156"/>
      <c r="K41" s="156"/>
      <c r="L41" s="2"/>
      <c r="M41" s="2"/>
      <c r="N41"/>
      <c r="O41"/>
      <c r="P41"/>
      <c r="Q41"/>
      <c r="R41"/>
      <c r="S41"/>
      <c r="T41"/>
      <c r="U41"/>
      <c r="V41"/>
      <c r="W41"/>
      <c r="X41"/>
      <c r="Y41"/>
      <c r="Z41"/>
    </row>
    <row r="42" spans="1:29" ht="16.2">
      <c r="A42" s="3" t="s">
        <v>282</v>
      </c>
      <c r="B42" s="5"/>
      <c r="C42" s="3"/>
      <c r="D42" s="3"/>
      <c r="E42" s="3"/>
      <c r="F42" s="156"/>
      <c r="G42" s="156"/>
      <c r="H42" s="156"/>
      <c r="I42" s="156"/>
      <c r="J42" s="156"/>
      <c r="K42" s="156"/>
      <c r="L42" s="11" t="s">
        <v>281</v>
      </c>
      <c r="M42" s="6">
        <v>12.354900000000001</v>
      </c>
      <c r="N42"/>
      <c r="O42"/>
      <c r="P42"/>
      <c r="Q42"/>
      <c r="R42"/>
      <c r="S42"/>
      <c r="T42"/>
      <c r="U42"/>
      <c r="V42"/>
      <c r="W42"/>
      <c r="X42"/>
      <c r="Y42"/>
      <c r="Z42"/>
    </row>
    <row r="43" spans="1:29">
      <c r="A43" s="3"/>
      <c r="B43" s="3"/>
      <c r="C43" s="2"/>
      <c r="D43" s="2"/>
      <c r="E43" s="2"/>
      <c r="F43" s="2"/>
      <c r="G43" s="2"/>
      <c r="H43" s="2"/>
      <c r="I43" s="2"/>
      <c r="J43" s="2"/>
      <c r="K43" s="2"/>
      <c r="L43" s="2"/>
      <c r="M43" s="2"/>
      <c r="N43"/>
      <c r="O43"/>
      <c r="P43"/>
      <c r="Q43"/>
      <c r="R43"/>
      <c r="S43"/>
      <c r="T43"/>
      <c r="U43"/>
      <c r="V43"/>
      <c r="W43"/>
      <c r="X43"/>
      <c r="Y43"/>
      <c r="Z43"/>
      <c r="AA43"/>
      <c r="AB43"/>
    </row>
    <row r="44" spans="1:29" ht="16.2">
      <c r="A44" s="3" t="s">
        <v>4</v>
      </c>
      <c r="B44" s="3" t="s">
        <v>280</v>
      </c>
      <c r="C44" s="5"/>
      <c r="D44" s="3"/>
      <c r="E44" s="3"/>
      <c r="F44" s="3"/>
      <c r="G44" s="3"/>
      <c r="H44" s="3"/>
      <c r="I44" s="2"/>
      <c r="J44" s="3"/>
      <c r="K44" s="3"/>
      <c r="L44" s="3"/>
      <c r="M44" s="3"/>
      <c r="N44"/>
      <c r="O44"/>
      <c r="P44"/>
      <c r="Q44"/>
      <c r="R44"/>
      <c r="S44"/>
      <c r="T44"/>
      <c r="U44"/>
      <c r="V44"/>
      <c r="W44"/>
      <c r="X44"/>
      <c r="Y44"/>
      <c r="Z44"/>
      <c r="AA44"/>
      <c r="AB44"/>
      <c r="AC44"/>
    </row>
    <row r="45" spans="1:29" ht="16.2">
      <c r="A45" s="5"/>
      <c r="B45" s="5" t="s">
        <v>64</v>
      </c>
      <c r="C45" s="5"/>
      <c r="D45" s="4"/>
      <c r="E45" s="4"/>
      <c r="F45" s="3"/>
      <c r="G45" s="3"/>
      <c r="H45" s="3"/>
      <c r="I45" s="2"/>
      <c r="J45" s="2"/>
      <c r="K45" s="2"/>
      <c r="L45" s="2"/>
      <c r="M45" s="2"/>
      <c r="N45"/>
      <c r="O45"/>
      <c r="P45"/>
      <c r="Q45"/>
      <c r="R45"/>
      <c r="S45"/>
      <c r="T45"/>
      <c r="U45"/>
      <c r="V45"/>
      <c r="W45"/>
      <c r="Y45"/>
      <c r="Z45"/>
      <c r="AA45"/>
      <c r="AB45"/>
    </row>
    <row r="46" spans="1:29">
      <c r="A46"/>
      <c r="B46"/>
      <c r="C46"/>
      <c r="D46"/>
      <c r="E46"/>
      <c r="F46"/>
      <c r="G46"/>
      <c r="H46"/>
      <c r="I46"/>
      <c r="J46"/>
      <c r="K46"/>
      <c r="L46"/>
      <c r="M46"/>
      <c r="N46" s="272" t="s">
        <v>47</v>
      </c>
      <c r="O46" s="272" t="s">
        <v>279</v>
      </c>
      <c r="P46" s="272" t="s">
        <v>278</v>
      </c>
      <c r="Q46" s="269" t="s">
        <v>277</v>
      </c>
      <c r="R46" s="272" t="s">
        <v>276</v>
      </c>
      <c r="S46" s="272" t="s">
        <v>275</v>
      </c>
      <c r="T46" s="269" t="s">
        <v>274</v>
      </c>
      <c r="U46" s="269" t="s">
        <v>273</v>
      </c>
      <c r="V46" s="269" t="s">
        <v>272</v>
      </c>
      <c r="W46" s="269" t="s">
        <v>271</v>
      </c>
      <c r="X46" s="269" t="s">
        <v>270</v>
      </c>
      <c r="Y46" s="269" t="s">
        <v>269</v>
      </c>
      <c r="AA46"/>
      <c r="AB46"/>
    </row>
    <row r="47" spans="1:29">
      <c r="A47"/>
      <c r="B47" s="271">
        <f>SUM(Q47:Q56)/SUM(W47:W56)</f>
        <v>0.52513043732459064</v>
      </c>
      <c r="C47"/>
      <c r="D47"/>
      <c r="E47"/>
      <c r="F47"/>
      <c r="G47"/>
      <c r="H47"/>
      <c r="I47"/>
      <c r="J47"/>
      <c r="K47"/>
      <c r="L47"/>
      <c r="M47"/>
      <c r="N47" s="269">
        <f t="shared" ref="N47:N56" si="0">A7</f>
        <v>2019</v>
      </c>
      <c r="O47" s="269">
        <f t="shared" ref="O47:O56" si="1">B7</f>
        <v>0</v>
      </c>
      <c r="P47" s="269">
        <f t="shared" ref="P47:P56" si="2">C7</f>
        <v>12</v>
      </c>
      <c r="Q47" s="270">
        <f t="shared" ref="Q47:Q56" si="3">D7</f>
        <v>3100</v>
      </c>
      <c r="R47" s="269">
        <f t="shared" ref="R47:R56" si="4">E7</f>
        <v>48</v>
      </c>
      <c r="S47" s="268">
        <f t="shared" ref="S47:S56" si="5">F7</f>
        <v>7100</v>
      </c>
      <c r="T47" s="267">
        <f t="shared" ref="T47:T56" si="6">IF(O47=0,0,1-EXP(-(O47-6)/M$42))</f>
        <v>0</v>
      </c>
      <c r="U47" s="267">
        <f t="shared" ref="U47:U56" si="7">1-EXP(-(P47-6)/M$42)</f>
        <v>0.38469504821902312</v>
      </c>
      <c r="V47" s="266">
        <f t="shared" ref="V47:V56" si="8">VLOOKUP(N47,A$21:B$24,2)</f>
        <v>10000</v>
      </c>
      <c r="W47" s="265">
        <f t="shared" ref="W47:W56" si="9">V47*(U47-T47)</f>
        <v>3846.950482190231</v>
      </c>
      <c r="X47" s="265">
        <f t="shared" ref="X47:X56" si="10">V47*B$47*(U47-T47)</f>
        <v>2020.1507890786008</v>
      </c>
      <c r="Y47" s="264">
        <f t="shared" ref="Y47:Y56" si="11">(Q47-X47)^2/X47</f>
        <v>577.22142556468259</v>
      </c>
      <c r="AA47"/>
      <c r="AB47"/>
    </row>
    <row r="48" spans="1:29">
      <c r="A48"/>
      <c r="B48"/>
      <c r="C48"/>
      <c r="D48"/>
      <c r="E48"/>
      <c r="F48"/>
      <c r="G48"/>
      <c r="H48"/>
      <c r="I48"/>
      <c r="J48"/>
      <c r="K48"/>
      <c r="L48"/>
      <c r="M48"/>
      <c r="N48" s="269">
        <f t="shared" si="0"/>
        <v>2019</v>
      </c>
      <c r="O48" s="269">
        <f t="shared" si="1"/>
        <v>12</v>
      </c>
      <c r="P48" s="269">
        <f t="shared" si="2"/>
        <v>24</v>
      </c>
      <c r="Q48" s="270">
        <f t="shared" si="3"/>
        <v>2400</v>
      </c>
      <c r="R48" s="269">
        <f t="shared" si="4"/>
        <v>48</v>
      </c>
      <c r="S48" s="268">
        <f t="shared" si="5"/>
        <v>7100</v>
      </c>
      <c r="T48" s="267">
        <f t="shared" si="6"/>
        <v>0.38469504821902312</v>
      </c>
      <c r="U48" s="267">
        <f t="shared" si="7"/>
        <v>0.76704543223269961</v>
      </c>
      <c r="V48" s="266">
        <f t="shared" si="8"/>
        <v>10000</v>
      </c>
      <c r="W48" s="265">
        <f t="shared" si="9"/>
        <v>3823.5038401367651</v>
      </c>
      <c r="X48" s="265">
        <f t="shared" si="10"/>
        <v>2007.838243683271</v>
      </c>
      <c r="Y48" s="264">
        <f t="shared" si="11"/>
        <v>76.595235498304149</v>
      </c>
      <c r="AA48"/>
      <c r="AB48"/>
    </row>
    <row r="49" spans="1:29" ht="19.2">
      <c r="A49" s="3" t="s">
        <v>48</v>
      </c>
      <c r="B49" s="3" t="s">
        <v>268</v>
      </c>
      <c r="C49" s="5"/>
      <c r="D49" s="3"/>
      <c r="E49" s="4"/>
      <c r="F49" s="3"/>
      <c r="G49" s="3"/>
      <c r="H49" s="2"/>
      <c r="I49" s="44"/>
      <c r="J49" s="2"/>
      <c r="K49" s="2"/>
      <c r="L49" s="2"/>
      <c r="M49" s="2"/>
      <c r="N49" s="269">
        <f t="shared" si="0"/>
        <v>2019</v>
      </c>
      <c r="O49" s="269">
        <f t="shared" si="1"/>
        <v>24</v>
      </c>
      <c r="P49" s="269">
        <f t="shared" si="2"/>
        <v>36</v>
      </c>
      <c r="Q49" s="270">
        <f t="shared" si="3"/>
        <v>1100</v>
      </c>
      <c r="R49" s="269">
        <f t="shared" si="4"/>
        <v>48</v>
      </c>
      <c r="S49" s="268">
        <f t="shared" si="5"/>
        <v>7100</v>
      </c>
      <c r="T49" s="267">
        <f t="shared" si="6"/>
        <v>0.76704543223269961</v>
      </c>
      <c r="U49" s="267">
        <f t="shared" si="7"/>
        <v>0.91180335785276301</v>
      </c>
      <c r="V49" s="266">
        <f t="shared" si="8"/>
        <v>10000</v>
      </c>
      <c r="W49" s="265">
        <f t="shared" si="9"/>
        <v>1447.5792562006341</v>
      </c>
      <c r="X49" s="265">
        <f t="shared" si="10"/>
        <v>760.16792787064458</v>
      </c>
      <c r="Y49" s="264">
        <f t="shared" si="11"/>
        <v>151.92148078547098</v>
      </c>
      <c r="AA49"/>
      <c r="AB49"/>
    </row>
    <row r="50" spans="1:29" ht="16.2">
      <c r="A50" s="5"/>
      <c r="B50" s="5" t="s">
        <v>64</v>
      </c>
      <c r="C50" s="5"/>
      <c r="D50" s="4"/>
      <c r="E50" s="4"/>
      <c r="F50" s="3"/>
      <c r="G50" s="3"/>
      <c r="H50" s="2"/>
      <c r="I50" s="44"/>
      <c r="J50" s="2"/>
      <c r="K50" s="2"/>
      <c r="L50" s="2"/>
      <c r="M50" s="2"/>
      <c r="N50" s="269">
        <f t="shared" si="0"/>
        <v>2019</v>
      </c>
      <c r="O50" s="269">
        <f t="shared" si="1"/>
        <v>36</v>
      </c>
      <c r="P50" s="269">
        <f t="shared" si="2"/>
        <v>48</v>
      </c>
      <c r="Q50" s="270">
        <f t="shared" si="3"/>
        <v>500</v>
      </c>
      <c r="R50" s="269">
        <f t="shared" si="4"/>
        <v>48</v>
      </c>
      <c r="S50" s="268">
        <f t="shared" si="5"/>
        <v>7100</v>
      </c>
      <c r="T50" s="267">
        <f t="shared" si="6"/>
        <v>0.91180335785276301</v>
      </c>
      <c r="U50" s="267">
        <f t="shared" si="7"/>
        <v>0.96660873508255085</v>
      </c>
      <c r="V50" s="266">
        <f t="shared" si="8"/>
        <v>10000</v>
      </c>
      <c r="W50" s="265">
        <f t="shared" si="9"/>
        <v>548.05377229787848</v>
      </c>
      <c r="X50" s="265">
        <f t="shared" si="10"/>
        <v>287.79971712417654</v>
      </c>
      <c r="Y50" s="264">
        <f t="shared" si="11"/>
        <v>156.45936174826369</v>
      </c>
      <c r="AA50"/>
      <c r="AB50"/>
    </row>
    <row r="51" spans="1:29">
      <c r="N51" s="269">
        <f t="shared" si="0"/>
        <v>2020</v>
      </c>
      <c r="O51" s="269">
        <f t="shared" si="1"/>
        <v>0</v>
      </c>
      <c r="P51" s="269">
        <f t="shared" si="2"/>
        <v>12</v>
      </c>
      <c r="Q51" s="270">
        <f t="shared" si="3"/>
        <v>2300</v>
      </c>
      <c r="R51" s="269">
        <f t="shared" si="4"/>
        <v>36</v>
      </c>
      <c r="S51" s="268">
        <f t="shared" si="5"/>
        <v>3800</v>
      </c>
      <c r="T51" s="267">
        <f t="shared" si="6"/>
        <v>0</v>
      </c>
      <c r="U51" s="267">
        <f t="shared" si="7"/>
        <v>0.38469504821902312</v>
      </c>
      <c r="V51" s="266">
        <f t="shared" si="8"/>
        <v>12000</v>
      </c>
      <c r="W51" s="265">
        <f t="shared" si="9"/>
        <v>4616.3405786282774</v>
      </c>
      <c r="X51" s="265">
        <f t="shared" si="10"/>
        <v>2424.1809468943211</v>
      </c>
      <c r="Y51" s="264">
        <f t="shared" si="11"/>
        <v>6.3612856916998322</v>
      </c>
      <c r="AA51"/>
      <c r="AB51"/>
    </row>
    <row r="52" spans="1:29">
      <c r="B52" s="271">
        <f>SUM(Y47:Y56)/8</f>
        <v>294.03808854432503</v>
      </c>
      <c r="N52" s="269">
        <f t="shared" si="0"/>
        <v>2020</v>
      </c>
      <c r="O52" s="269">
        <f t="shared" si="1"/>
        <v>12</v>
      </c>
      <c r="P52" s="269">
        <f t="shared" si="2"/>
        <v>24</v>
      </c>
      <c r="Q52" s="270">
        <f t="shared" si="3"/>
        <v>600</v>
      </c>
      <c r="R52" s="269">
        <f t="shared" si="4"/>
        <v>36</v>
      </c>
      <c r="S52" s="268">
        <f t="shared" si="5"/>
        <v>3800</v>
      </c>
      <c r="T52" s="267">
        <f t="shared" si="6"/>
        <v>0.38469504821902312</v>
      </c>
      <c r="U52" s="267">
        <f t="shared" si="7"/>
        <v>0.76704543223269961</v>
      </c>
      <c r="V52" s="266">
        <f t="shared" si="8"/>
        <v>12000</v>
      </c>
      <c r="W52" s="265">
        <f t="shared" si="9"/>
        <v>4588.2046081641183</v>
      </c>
      <c r="X52" s="265">
        <f t="shared" si="10"/>
        <v>2409.4058924199253</v>
      </c>
      <c r="Y52" s="264">
        <f t="shared" si="11"/>
        <v>1358.8203190769584</v>
      </c>
      <c r="AA52"/>
      <c r="AB52"/>
    </row>
    <row r="53" spans="1:29">
      <c r="N53" s="269">
        <f t="shared" si="0"/>
        <v>2020</v>
      </c>
      <c r="O53" s="269">
        <f t="shared" si="1"/>
        <v>24</v>
      </c>
      <c r="P53" s="269">
        <f t="shared" si="2"/>
        <v>36</v>
      </c>
      <c r="Q53" s="270">
        <f t="shared" si="3"/>
        <v>900</v>
      </c>
      <c r="R53" s="269">
        <f t="shared" si="4"/>
        <v>36</v>
      </c>
      <c r="S53" s="268">
        <f t="shared" si="5"/>
        <v>3800</v>
      </c>
      <c r="T53" s="267">
        <f t="shared" si="6"/>
        <v>0.76704543223269961</v>
      </c>
      <c r="U53" s="267">
        <f t="shared" si="7"/>
        <v>0.91180335785276301</v>
      </c>
      <c r="V53" s="266">
        <f t="shared" si="8"/>
        <v>12000</v>
      </c>
      <c r="W53" s="265">
        <f t="shared" si="9"/>
        <v>1737.0951074407608</v>
      </c>
      <c r="X53" s="265">
        <f t="shared" si="10"/>
        <v>912.20151344477347</v>
      </c>
      <c r="Y53" s="264">
        <f t="shared" si="11"/>
        <v>0.16320618651549848</v>
      </c>
      <c r="AA53"/>
      <c r="AB53"/>
    </row>
    <row r="54" spans="1:29" ht="16.2">
      <c r="A54" s="3" t="s">
        <v>129</v>
      </c>
      <c r="B54" s="3" t="s">
        <v>102</v>
      </c>
      <c r="C54" s="5"/>
      <c r="D54" s="3"/>
      <c r="E54" s="3"/>
      <c r="F54" s="3"/>
      <c r="G54" s="3"/>
      <c r="H54" s="2"/>
      <c r="I54" s="44"/>
      <c r="J54" s="2"/>
      <c r="K54" s="2"/>
      <c r="L54" s="2"/>
      <c r="M54" s="2"/>
      <c r="N54" s="269">
        <f t="shared" si="0"/>
        <v>2021</v>
      </c>
      <c r="O54" s="269">
        <f t="shared" si="1"/>
        <v>0</v>
      </c>
      <c r="P54" s="269">
        <f t="shared" si="2"/>
        <v>12</v>
      </c>
      <c r="Q54" s="270">
        <f t="shared" si="3"/>
        <v>3200</v>
      </c>
      <c r="R54" s="269">
        <f t="shared" si="4"/>
        <v>24</v>
      </c>
      <c r="S54" s="268">
        <f t="shared" si="5"/>
        <v>6000</v>
      </c>
      <c r="T54" s="267">
        <f t="shared" si="6"/>
        <v>0</v>
      </c>
      <c r="U54" s="267">
        <f t="shared" si="7"/>
        <v>0.38469504821902312</v>
      </c>
      <c r="V54" s="266">
        <f t="shared" si="8"/>
        <v>15000</v>
      </c>
      <c r="W54" s="265">
        <f t="shared" si="9"/>
        <v>5770.425723285347</v>
      </c>
      <c r="X54" s="265">
        <f t="shared" si="10"/>
        <v>3030.2261836179014</v>
      </c>
      <c r="Y54" s="264">
        <f t="shared" si="11"/>
        <v>9.5118802961861739</v>
      </c>
      <c r="AA54"/>
      <c r="AB54"/>
    </row>
    <row r="55" spans="1:29" ht="16.2">
      <c r="A55" s="5"/>
      <c r="B55" s="5" t="s">
        <v>64</v>
      </c>
      <c r="C55" s="5"/>
      <c r="D55" s="4"/>
      <c r="E55" s="4"/>
      <c r="F55" s="3"/>
      <c r="G55" s="3"/>
      <c r="H55" s="2"/>
      <c r="I55" s="44"/>
      <c r="J55" s="2"/>
      <c r="K55" s="2"/>
      <c r="L55" s="2"/>
      <c r="M55" s="2"/>
      <c r="N55" s="269">
        <f t="shared" si="0"/>
        <v>2021</v>
      </c>
      <c r="O55" s="269">
        <f t="shared" si="1"/>
        <v>12</v>
      </c>
      <c r="P55" s="269">
        <f t="shared" si="2"/>
        <v>24</v>
      </c>
      <c r="Q55" s="270">
        <f t="shared" si="3"/>
        <v>2800</v>
      </c>
      <c r="R55" s="269">
        <f t="shared" si="4"/>
        <v>24</v>
      </c>
      <c r="S55" s="268">
        <f t="shared" si="5"/>
        <v>6000</v>
      </c>
      <c r="T55" s="267">
        <f t="shared" si="6"/>
        <v>0.38469504821902312</v>
      </c>
      <c r="U55" s="267">
        <f t="shared" si="7"/>
        <v>0.76704543223269961</v>
      </c>
      <c r="V55" s="266">
        <f t="shared" si="8"/>
        <v>15000</v>
      </c>
      <c r="W55" s="265">
        <f t="shared" si="9"/>
        <v>5735.2557602051475</v>
      </c>
      <c r="X55" s="265">
        <f t="shared" si="10"/>
        <v>3011.7573655249066</v>
      </c>
      <c r="Y55" s="264">
        <f t="shared" si="11"/>
        <v>14.88870994965882</v>
      </c>
      <c r="AA55"/>
      <c r="AB55"/>
    </row>
    <row r="56" spans="1:29">
      <c r="N56" s="269">
        <f t="shared" si="0"/>
        <v>2022</v>
      </c>
      <c r="O56" s="269">
        <f t="shared" si="1"/>
        <v>0</v>
      </c>
      <c r="P56" s="269">
        <f t="shared" si="2"/>
        <v>12</v>
      </c>
      <c r="Q56" s="270">
        <f t="shared" si="3"/>
        <v>3600</v>
      </c>
      <c r="R56" s="269">
        <f t="shared" si="4"/>
        <v>12</v>
      </c>
      <c r="S56" s="268">
        <f t="shared" si="5"/>
        <v>3600</v>
      </c>
      <c r="T56" s="267">
        <f t="shared" si="6"/>
        <v>0</v>
      </c>
      <c r="U56" s="267">
        <f t="shared" si="7"/>
        <v>0.38469504821902312</v>
      </c>
      <c r="V56" s="266">
        <f t="shared" si="8"/>
        <v>18000</v>
      </c>
      <c r="W56" s="265">
        <f t="shared" si="9"/>
        <v>6924.5108679424166</v>
      </c>
      <c r="X56" s="265">
        <f t="shared" si="10"/>
        <v>3636.2714203414821</v>
      </c>
      <c r="Y56" s="264">
        <f t="shared" si="11"/>
        <v>0.36180355686015647</v>
      </c>
      <c r="AA56"/>
      <c r="AB56"/>
    </row>
    <row r="57" spans="1:29">
      <c r="B57" s="125" t="s">
        <v>267</v>
      </c>
      <c r="C57" s="125" t="s">
        <v>266</v>
      </c>
      <c r="D57" s="263" t="s">
        <v>265</v>
      </c>
      <c r="N57"/>
      <c r="O57"/>
      <c r="P57"/>
      <c r="Q57"/>
      <c r="R57"/>
      <c r="S57"/>
      <c r="T57"/>
      <c r="U57"/>
      <c r="V57"/>
      <c r="W57"/>
      <c r="X57"/>
      <c r="Y57"/>
      <c r="Z57"/>
      <c r="AA57"/>
      <c r="AB57"/>
    </row>
    <row r="58" spans="1:29">
      <c r="B58" s="107">
        <f>SUM(B21:B24)*B47</f>
        <v>28882.174052852486</v>
      </c>
      <c r="C58" s="107">
        <f>B58-SUM(Q47:Q56)</f>
        <v>8382.1740528524861</v>
      </c>
      <c r="D58" s="262">
        <f>SQRT(C58*B52)</f>
        <v>1569.9294367412133</v>
      </c>
      <c r="N58"/>
      <c r="O58"/>
      <c r="P58"/>
      <c r="Q58"/>
      <c r="R58"/>
      <c r="S58"/>
      <c r="T58"/>
      <c r="U58"/>
      <c r="V58"/>
      <c r="W58"/>
      <c r="X58"/>
      <c r="Y58"/>
      <c r="Z58"/>
      <c r="AA58"/>
      <c r="AB58"/>
      <c r="AC58" s="57"/>
    </row>
    <row r="59" spans="1:29">
      <c r="N59"/>
      <c r="O59"/>
      <c r="P59"/>
      <c r="Q59"/>
      <c r="R59"/>
      <c r="S59"/>
      <c r="T59"/>
      <c r="U59"/>
      <c r="V59"/>
      <c r="W59"/>
      <c r="X59"/>
      <c r="Y59"/>
      <c r="Z59"/>
      <c r="AA59"/>
      <c r="AB59"/>
      <c r="AC59" s="57"/>
    </row>
    <row r="60" spans="1:29">
      <c r="N60"/>
      <c r="O60"/>
      <c r="P60"/>
      <c r="Q60"/>
      <c r="R60"/>
      <c r="S60"/>
      <c r="T60"/>
      <c r="U60"/>
      <c r="V60"/>
      <c r="W60"/>
      <c r="X60"/>
      <c r="Y60"/>
      <c r="Z60"/>
      <c r="AA60"/>
      <c r="AB60"/>
      <c r="AC60" s="57"/>
    </row>
    <row r="61" spans="1:29">
      <c r="N61"/>
      <c r="O61"/>
      <c r="P61"/>
      <c r="Q61"/>
      <c r="R61"/>
      <c r="S61"/>
      <c r="T61"/>
      <c r="U61"/>
      <c r="V61"/>
      <c r="W61"/>
      <c r="X61"/>
      <c r="Y61"/>
      <c r="Z61"/>
      <c r="AA61"/>
      <c r="AB61"/>
    </row>
    <row r="62" spans="1:29">
      <c r="N62"/>
      <c r="O62"/>
      <c r="P62"/>
      <c r="Q62"/>
      <c r="R62"/>
      <c r="S62"/>
      <c r="T62"/>
      <c r="U62"/>
      <c r="V62"/>
      <c r="W62"/>
      <c r="X62"/>
      <c r="Y62"/>
      <c r="Z62"/>
      <c r="AA62"/>
      <c r="AB62"/>
    </row>
    <row r="63" spans="1:29">
      <c r="N63"/>
      <c r="O63"/>
      <c r="P63"/>
      <c r="Q63"/>
      <c r="R63"/>
      <c r="S63"/>
      <c r="T63"/>
      <c r="U63"/>
      <c r="V63"/>
      <c r="W63"/>
      <c r="X63"/>
      <c r="Y63"/>
      <c r="Z63"/>
    </row>
    <row r="64" spans="1:29">
      <c r="N64"/>
      <c r="O64"/>
      <c r="P64"/>
      <c r="Q64"/>
      <c r="R64"/>
      <c r="S64"/>
      <c r="T64"/>
      <c r="U64"/>
      <c r="V64"/>
      <c r="W64"/>
      <c r="X64"/>
      <c r="Y64"/>
      <c r="Z64"/>
    </row>
    <row r="65" spans="14:26">
      <c r="N65"/>
      <c r="O65"/>
      <c r="P65"/>
      <c r="Q65"/>
      <c r="R65"/>
      <c r="S65"/>
      <c r="T65"/>
      <c r="U65"/>
      <c r="V65"/>
      <c r="W65"/>
      <c r="X65"/>
      <c r="Y65"/>
      <c r="Z65"/>
    </row>
    <row r="66" spans="14:26">
      <c r="N66"/>
      <c r="O66"/>
      <c r="P66"/>
      <c r="Q66"/>
      <c r="R66"/>
      <c r="S66"/>
      <c r="T66"/>
      <c r="U66"/>
      <c r="V66"/>
      <c r="W66"/>
      <c r="X66"/>
      <c r="Y66"/>
      <c r="Z66"/>
    </row>
    <row r="67" spans="14:26">
      <c r="N67"/>
      <c r="O67"/>
      <c r="P67"/>
      <c r="Q67"/>
      <c r="R67"/>
      <c r="S67"/>
      <c r="T67"/>
      <c r="U67"/>
      <c r="V67"/>
      <c r="W67"/>
      <c r="X67"/>
      <c r="Y67"/>
      <c r="Z67"/>
    </row>
    <row r="68" spans="14:26">
      <c r="N68"/>
      <c r="O68"/>
      <c r="P68"/>
      <c r="Q68"/>
      <c r="R68"/>
      <c r="S68"/>
      <c r="T68"/>
      <c r="U68"/>
      <c r="V68"/>
      <c r="W68"/>
      <c r="X68"/>
      <c r="Y68"/>
      <c r="Z68"/>
    </row>
    <row r="69" spans="14:26">
      <c r="N69"/>
      <c r="O69"/>
      <c r="P69"/>
      <c r="Q69"/>
      <c r="R69"/>
      <c r="S69"/>
      <c r="T69"/>
      <c r="U69"/>
      <c r="V69"/>
      <c r="W69"/>
      <c r="X69"/>
      <c r="Y69"/>
      <c r="Z69"/>
    </row>
    <row r="70" spans="14:26">
      <c r="N70"/>
      <c r="O70"/>
      <c r="P70"/>
      <c r="Q70"/>
      <c r="R70"/>
      <c r="S70"/>
      <c r="T70"/>
      <c r="U70"/>
      <c r="V70"/>
      <c r="W70"/>
      <c r="X70"/>
      <c r="Y70"/>
      <c r="Z70"/>
    </row>
    <row r="71" spans="14:26">
      <c r="N71"/>
      <c r="O71"/>
      <c r="P71"/>
      <c r="Q71"/>
      <c r="R71"/>
      <c r="S71"/>
      <c r="T71"/>
      <c r="U71"/>
      <c r="V71"/>
      <c r="W71"/>
      <c r="X71"/>
      <c r="Y71"/>
      <c r="Z71"/>
    </row>
    <row r="72" spans="14:26">
      <c r="N72"/>
      <c r="O72"/>
      <c r="P72"/>
      <c r="Q72"/>
      <c r="R72"/>
      <c r="S72"/>
      <c r="T72"/>
      <c r="U72"/>
      <c r="V72"/>
      <c r="W72"/>
      <c r="X72"/>
      <c r="Y72"/>
      <c r="Z72"/>
    </row>
    <row r="73" spans="14:26">
      <c r="N73"/>
      <c r="O73"/>
      <c r="P73"/>
      <c r="Q73"/>
      <c r="R73"/>
      <c r="S73"/>
      <c r="T73"/>
      <c r="U73"/>
      <c r="V73"/>
      <c r="W73"/>
      <c r="X73"/>
      <c r="Y73"/>
      <c r="Z73"/>
    </row>
    <row r="74" spans="14:26">
      <c r="N74"/>
      <c r="O74"/>
      <c r="P74"/>
      <c r="Q74"/>
      <c r="R74"/>
      <c r="S74"/>
      <c r="T74"/>
      <c r="U74"/>
      <c r="V74"/>
      <c r="W74"/>
      <c r="X74"/>
      <c r="Y74"/>
      <c r="Z74"/>
    </row>
    <row r="75" spans="14:26">
      <c r="N75"/>
      <c r="O75"/>
      <c r="P75"/>
      <c r="Q75"/>
      <c r="R75"/>
      <c r="S75"/>
      <c r="T75"/>
      <c r="U75"/>
      <c r="V75"/>
      <c r="W75"/>
      <c r="X75"/>
      <c r="Y75"/>
      <c r="Z75"/>
    </row>
    <row r="76" spans="14:26">
      <c r="N76"/>
      <c r="O76"/>
      <c r="P76"/>
      <c r="Q76"/>
      <c r="R76"/>
      <c r="S76"/>
      <c r="T76"/>
      <c r="U76"/>
      <c r="V76"/>
      <c r="W76"/>
      <c r="X76"/>
      <c r="Y76"/>
      <c r="Z76"/>
    </row>
    <row r="77" spans="14:26">
      <c r="N77"/>
      <c r="O77"/>
      <c r="P77"/>
      <c r="Q77"/>
      <c r="R77"/>
      <c r="S77"/>
      <c r="T77"/>
      <c r="U77"/>
      <c r="V77"/>
      <c r="W77"/>
      <c r="X77"/>
      <c r="Y77"/>
      <c r="Z77"/>
    </row>
    <row r="78" spans="14:26">
      <c r="N78"/>
      <c r="O78"/>
      <c r="P78"/>
      <c r="Q78"/>
      <c r="R78"/>
      <c r="S78"/>
      <c r="T78"/>
      <c r="U78"/>
      <c r="V78"/>
      <c r="W78"/>
      <c r="X78"/>
      <c r="Y78"/>
      <c r="Z78"/>
    </row>
    <row r="79" spans="14:26">
      <c r="N79"/>
      <c r="O79"/>
      <c r="P79"/>
      <c r="Q79"/>
      <c r="R79"/>
      <c r="S79"/>
      <c r="T79"/>
      <c r="U79"/>
      <c r="V79"/>
      <c r="W79"/>
      <c r="X79"/>
      <c r="Y79"/>
      <c r="Z79"/>
    </row>
    <row r="80" spans="14:26">
      <c r="N80"/>
      <c r="O80"/>
      <c r="P80"/>
      <c r="Q80"/>
      <c r="R80"/>
      <c r="S80"/>
      <c r="T80"/>
      <c r="U80"/>
      <c r="V80"/>
      <c r="W80"/>
      <c r="X80"/>
      <c r="Y80"/>
      <c r="Z80"/>
    </row>
    <row r="81" spans="14:26">
      <c r="N81"/>
      <c r="O81"/>
      <c r="P81"/>
      <c r="Q81"/>
      <c r="R81"/>
      <c r="S81"/>
      <c r="T81"/>
      <c r="U81"/>
      <c r="V81"/>
      <c r="W81"/>
      <c r="X81"/>
      <c r="Y81"/>
      <c r="Z81"/>
    </row>
    <row r="82" spans="14:26">
      <c r="N82"/>
      <c r="O82"/>
      <c r="P82"/>
      <c r="Q82"/>
      <c r="R82"/>
      <c r="S82"/>
      <c r="T82"/>
      <c r="U82"/>
      <c r="V82"/>
      <c r="W82"/>
      <c r="X82"/>
      <c r="Y82"/>
      <c r="Z82"/>
    </row>
    <row r="83" spans="14:26">
      <c r="N83"/>
      <c r="O83"/>
      <c r="P83"/>
      <c r="Q83"/>
      <c r="R83"/>
      <c r="S83"/>
      <c r="T83"/>
      <c r="U83"/>
      <c r="V83"/>
      <c r="W83"/>
      <c r="X83"/>
      <c r="Y83"/>
      <c r="Z83"/>
    </row>
    <row r="84" spans="14:26">
      <c r="N84"/>
      <c r="O84"/>
      <c r="P84"/>
      <c r="Q84"/>
      <c r="R84"/>
      <c r="S84"/>
      <c r="T84"/>
      <c r="U84"/>
      <c r="V84"/>
      <c r="W84"/>
      <c r="X84"/>
      <c r="Y84"/>
      <c r="Z84"/>
    </row>
    <row r="85" spans="14:26">
      <c r="N85"/>
      <c r="O85"/>
      <c r="P85"/>
      <c r="Q85"/>
      <c r="R85"/>
      <c r="S85"/>
      <c r="T85"/>
      <c r="U85"/>
      <c r="V85"/>
      <c r="W85"/>
      <c r="X85"/>
      <c r="Y85"/>
      <c r="Z85"/>
    </row>
    <row r="86" spans="14:26">
      <c r="N86"/>
      <c r="O86"/>
      <c r="P86"/>
      <c r="Q86"/>
      <c r="R86"/>
      <c r="S86"/>
      <c r="T86"/>
      <c r="U86"/>
      <c r="V86"/>
      <c r="W86"/>
      <c r="X86"/>
      <c r="Y86"/>
      <c r="Z86"/>
    </row>
    <row r="87" spans="14:26">
      <c r="N87"/>
      <c r="O87"/>
      <c r="P87"/>
      <c r="Q87"/>
      <c r="R87"/>
      <c r="S87"/>
      <c r="T87"/>
      <c r="U87"/>
      <c r="V87"/>
      <c r="W87"/>
      <c r="X87"/>
      <c r="Y87"/>
      <c r="Z87"/>
    </row>
    <row r="88" spans="14:26">
      <c r="N88"/>
      <c r="O88"/>
      <c r="P88"/>
      <c r="Q88"/>
      <c r="R88"/>
      <c r="S88"/>
      <c r="T88"/>
      <c r="U88"/>
      <c r="V88"/>
      <c r="W88"/>
      <c r="X88"/>
      <c r="Y88"/>
      <c r="Z88"/>
    </row>
    <row r="89" spans="14:26">
      <c r="N89"/>
      <c r="O89"/>
      <c r="P89"/>
      <c r="Q89"/>
      <c r="R89"/>
      <c r="S89"/>
      <c r="T89"/>
      <c r="U89"/>
      <c r="V89"/>
      <c r="W89"/>
      <c r="X89"/>
      <c r="Y89"/>
      <c r="Z89"/>
    </row>
    <row r="90" spans="14:26">
      <c r="N90"/>
      <c r="O90"/>
      <c r="P90"/>
      <c r="Q90"/>
      <c r="R90"/>
      <c r="S90"/>
      <c r="T90"/>
      <c r="U90"/>
      <c r="V90"/>
      <c r="W90"/>
      <c r="X90"/>
      <c r="Y90"/>
      <c r="Z90"/>
    </row>
    <row r="91" spans="14:26">
      <c r="N91"/>
      <c r="O91"/>
      <c r="P91"/>
      <c r="Q91"/>
      <c r="R91"/>
      <c r="S91"/>
      <c r="T91"/>
      <c r="U91"/>
      <c r="V91"/>
      <c r="W91"/>
      <c r="X91"/>
      <c r="Y91"/>
      <c r="Z91"/>
    </row>
    <row r="92" spans="14:26">
      <c r="N92"/>
      <c r="O92"/>
      <c r="P92"/>
      <c r="Q92"/>
      <c r="R92"/>
      <c r="S92"/>
      <c r="T92"/>
      <c r="U92"/>
      <c r="V92"/>
      <c r="W92"/>
      <c r="X92"/>
      <c r="Y92"/>
      <c r="Z92"/>
    </row>
    <row r="93" spans="14:26">
      <c r="N93"/>
      <c r="O93"/>
      <c r="P93"/>
      <c r="Q93"/>
      <c r="R93"/>
      <c r="S93"/>
      <c r="T93"/>
      <c r="U93"/>
      <c r="V93"/>
      <c r="W93"/>
      <c r="X93"/>
      <c r="Y93"/>
      <c r="Z93"/>
    </row>
    <row r="94" spans="14:26">
      <c r="N94"/>
      <c r="O94"/>
      <c r="P94"/>
      <c r="Q94"/>
      <c r="R94"/>
      <c r="S94"/>
      <c r="T94"/>
      <c r="U94"/>
      <c r="V94"/>
      <c r="W94"/>
      <c r="X94"/>
      <c r="Y94"/>
      <c r="Z94"/>
    </row>
    <row r="95" spans="14:26">
      <c r="N95"/>
      <c r="O95"/>
      <c r="P95"/>
      <c r="Q95"/>
      <c r="R95"/>
      <c r="S95"/>
      <c r="T95"/>
      <c r="U95"/>
      <c r="V95"/>
      <c r="W95"/>
      <c r="X95"/>
      <c r="Y95"/>
      <c r="Z95"/>
    </row>
    <row r="96" spans="14:26">
      <c r="N96"/>
      <c r="O96"/>
      <c r="P96"/>
      <c r="Q96"/>
      <c r="R96"/>
      <c r="S96"/>
      <c r="T96"/>
      <c r="U96"/>
      <c r="V96"/>
      <c r="W96"/>
      <c r="X96"/>
      <c r="Y96"/>
      <c r="Z96"/>
    </row>
    <row r="97" spans="13:26">
      <c r="N97"/>
      <c r="O97"/>
      <c r="P97"/>
      <c r="Q97"/>
      <c r="R97"/>
      <c r="S97"/>
      <c r="T97"/>
      <c r="U97"/>
      <c r="V97"/>
      <c r="W97"/>
      <c r="X97"/>
      <c r="Y97"/>
      <c r="Z97"/>
    </row>
    <row r="98" spans="13:26">
      <c r="N98"/>
      <c r="O98"/>
      <c r="P98"/>
      <c r="Q98"/>
      <c r="R98"/>
      <c r="S98"/>
      <c r="T98"/>
      <c r="U98"/>
      <c r="V98"/>
      <c r="W98"/>
      <c r="X98"/>
      <c r="Y98"/>
      <c r="Z98"/>
    </row>
    <row r="99" spans="13:26">
      <c r="N99"/>
      <c r="O99"/>
      <c r="P99"/>
      <c r="Q99"/>
      <c r="R99"/>
      <c r="S99"/>
      <c r="T99"/>
      <c r="U99"/>
      <c r="V99"/>
      <c r="W99"/>
      <c r="X99"/>
      <c r="Y99"/>
      <c r="Z99"/>
    </row>
    <row r="100" spans="13:26">
      <c r="N100"/>
      <c r="O100"/>
      <c r="P100"/>
      <c r="Q100"/>
      <c r="R100"/>
      <c r="S100"/>
      <c r="T100"/>
      <c r="U100"/>
      <c r="V100"/>
      <c r="W100"/>
      <c r="X100"/>
      <c r="Y100"/>
      <c r="Z100"/>
    </row>
    <row r="101" spans="13:26">
      <c r="N101"/>
      <c r="O101"/>
      <c r="P101"/>
      <c r="Q101"/>
      <c r="R101"/>
      <c r="S101"/>
      <c r="T101"/>
      <c r="U101"/>
      <c r="V101"/>
      <c r="W101"/>
      <c r="X101"/>
      <c r="Y101"/>
      <c r="Z101"/>
    </row>
    <row r="102" spans="13:26">
      <c r="N102"/>
      <c r="O102"/>
      <c r="P102"/>
      <c r="Q102"/>
      <c r="R102"/>
      <c r="S102"/>
      <c r="T102"/>
      <c r="U102"/>
      <c r="V102"/>
      <c r="W102"/>
      <c r="X102"/>
      <c r="Y102"/>
      <c r="Z102"/>
    </row>
    <row r="103" spans="13:26">
      <c r="M103"/>
      <c r="N103"/>
      <c r="O103"/>
      <c r="P103"/>
      <c r="Q103"/>
      <c r="R103"/>
      <c r="S103"/>
      <c r="T103"/>
      <c r="U103"/>
      <c r="V103"/>
      <c r="W103"/>
      <c r="X103"/>
      <c r="Y103"/>
      <c r="Z103"/>
    </row>
    <row r="104" spans="13:26">
      <c r="M104"/>
      <c r="N104"/>
      <c r="O104"/>
      <c r="P104"/>
      <c r="Q104"/>
      <c r="R104"/>
      <c r="S104"/>
      <c r="T104"/>
      <c r="U104"/>
      <c r="V104"/>
      <c r="W104"/>
      <c r="X104"/>
      <c r="Y104"/>
      <c r="Z104"/>
    </row>
    <row r="105" spans="13:26">
      <c r="M105"/>
      <c r="N105"/>
      <c r="O105"/>
      <c r="P105"/>
      <c r="Q105"/>
      <c r="R105"/>
      <c r="S105"/>
      <c r="T105"/>
      <c r="U105"/>
      <c r="V105"/>
      <c r="W105"/>
      <c r="X105"/>
      <c r="Y105"/>
      <c r="Z105"/>
    </row>
    <row r="106" spans="13:26">
      <c r="M106"/>
      <c r="N106"/>
      <c r="O106"/>
      <c r="P106"/>
      <c r="Q106"/>
      <c r="R106"/>
      <c r="S106"/>
      <c r="T106"/>
      <c r="U106"/>
      <c r="V106"/>
      <c r="W106"/>
      <c r="X106"/>
      <c r="Y106"/>
      <c r="Z106"/>
    </row>
    <row r="107" spans="13:26">
      <c r="M107"/>
      <c r="N107"/>
      <c r="O107"/>
      <c r="P107"/>
      <c r="Q107"/>
      <c r="R107"/>
      <c r="S107"/>
      <c r="T107"/>
      <c r="U107"/>
      <c r="V107"/>
      <c r="W107"/>
      <c r="X107"/>
      <c r="Y107"/>
      <c r="Z107"/>
    </row>
    <row r="108" spans="13:26">
      <c r="M108"/>
      <c r="N108"/>
      <c r="O108"/>
      <c r="P108"/>
      <c r="Q108"/>
      <c r="R108"/>
      <c r="S108"/>
      <c r="T108"/>
      <c r="U108"/>
      <c r="V108"/>
      <c r="W108"/>
      <c r="X108"/>
      <c r="Y108"/>
      <c r="Z108"/>
    </row>
    <row r="109" spans="13:26">
      <c r="M109"/>
      <c r="N109"/>
      <c r="O109"/>
      <c r="P109"/>
      <c r="Q109"/>
      <c r="R109"/>
      <c r="S109"/>
      <c r="T109"/>
      <c r="U109"/>
      <c r="V109"/>
      <c r="W109"/>
      <c r="X109"/>
      <c r="Y109"/>
      <c r="Z109"/>
    </row>
    <row r="110" spans="13:26">
      <c r="M110"/>
      <c r="N110"/>
      <c r="O110"/>
      <c r="P110"/>
      <c r="Q110"/>
      <c r="R110"/>
      <c r="S110"/>
      <c r="T110"/>
      <c r="U110"/>
      <c r="V110"/>
      <c r="W110"/>
      <c r="X110"/>
      <c r="Y110"/>
      <c r="Z110"/>
    </row>
    <row r="111" spans="13:26">
      <c r="M111"/>
      <c r="N111"/>
      <c r="O111"/>
      <c r="P111"/>
      <c r="Q111"/>
      <c r="R111"/>
      <c r="S111"/>
      <c r="T111"/>
      <c r="U111"/>
      <c r="V111"/>
      <c r="W111"/>
      <c r="X111"/>
      <c r="Y111"/>
      <c r="Z111"/>
    </row>
    <row r="112" spans="13:26">
      <c r="M112"/>
      <c r="N112"/>
      <c r="O112"/>
      <c r="P112"/>
      <c r="Q112"/>
      <c r="R112"/>
      <c r="S112"/>
      <c r="T112"/>
      <c r="U112"/>
      <c r="V112"/>
      <c r="W112"/>
      <c r="X112"/>
      <c r="Y112"/>
      <c r="Z112"/>
    </row>
    <row r="113" spans="13:26">
      <c r="M113"/>
      <c r="N113"/>
      <c r="O113"/>
      <c r="P113"/>
      <c r="Q113"/>
      <c r="R113"/>
      <c r="S113"/>
      <c r="T113"/>
      <c r="U113"/>
      <c r="V113"/>
      <c r="W113"/>
      <c r="X113"/>
      <c r="Y113"/>
      <c r="Z113"/>
    </row>
    <row r="114" spans="13:26">
      <c r="M114"/>
      <c r="N114"/>
      <c r="O114"/>
      <c r="P114"/>
      <c r="Q114"/>
      <c r="R114"/>
      <c r="S114"/>
      <c r="T114"/>
      <c r="U114"/>
      <c r="V114"/>
      <c r="W114"/>
      <c r="X114"/>
      <c r="Y114"/>
      <c r="Z114"/>
    </row>
    <row r="115" spans="13:26">
      <c r="M115"/>
      <c r="N115"/>
      <c r="O115"/>
      <c r="P115"/>
      <c r="Q115"/>
      <c r="R115"/>
      <c r="S115"/>
      <c r="T115"/>
      <c r="U115"/>
      <c r="V115"/>
      <c r="W115"/>
      <c r="X115"/>
      <c r="Y115"/>
      <c r="Z115"/>
    </row>
    <row r="116" spans="13:26">
      <c r="M116"/>
      <c r="N116"/>
      <c r="O116"/>
      <c r="P116"/>
      <c r="Q116"/>
      <c r="R116"/>
      <c r="S116"/>
      <c r="T116"/>
      <c r="U116"/>
      <c r="V116"/>
      <c r="W116"/>
      <c r="X116"/>
      <c r="Y116"/>
      <c r="Z116"/>
    </row>
    <row r="117" spans="13:26">
      <c r="M117"/>
      <c r="N117"/>
      <c r="O117"/>
      <c r="P117"/>
      <c r="Q117"/>
      <c r="R117"/>
      <c r="S117"/>
      <c r="T117"/>
      <c r="U117"/>
      <c r="V117"/>
      <c r="W117"/>
      <c r="X117"/>
      <c r="Y117"/>
      <c r="Z117"/>
    </row>
    <row r="118" spans="13:26">
      <c r="M118"/>
      <c r="N118"/>
      <c r="O118"/>
      <c r="P118"/>
      <c r="Q118"/>
      <c r="R118"/>
      <c r="S118"/>
      <c r="T118"/>
      <c r="U118"/>
      <c r="V118"/>
      <c r="W118"/>
      <c r="X118"/>
      <c r="Y118"/>
      <c r="Z118"/>
    </row>
    <row r="119" spans="13:26">
      <c r="M119"/>
      <c r="N119"/>
      <c r="O119"/>
      <c r="P119"/>
      <c r="Q119"/>
      <c r="R119"/>
      <c r="S119"/>
      <c r="T119"/>
      <c r="U119"/>
      <c r="V119"/>
      <c r="W119"/>
      <c r="X119"/>
      <c r="Y119"/>
      <c r="Z119"/>
    </row>
    <row r="120" spans="13:26">
      <c r="M120"/>
      <c r="N120"/>
      <c r="O120"/>
      <c r="P120"/>
      <c r="Q120"/>
      <c r="R120"/>
      <c r="S120"/>
      <c r="T120"/>
      <c r="U120"/>
      <c r="V120"/>
      <c r="W120"/>
      <c r="X120"/>
      <c r="Y120"/>
      <c r="Z120"/>
    </row>
    <row r="121" spans="13:26">
      <c r="M121"/>
      <c r="N121"/>
      <c r="O121"/>
      <c r="P121"/>
      <c r="Q121"/>
      <c r="R121"/>
      <c r="S121"/>
      <c r="T121"/>
      <c r="U121"/>
      <c r="V121"/>
      <c r="W121"/>
      <c r="X121"/>
      <c r="Y121"/>
      <c r="Z121"/>
    </row>
    <row r="122" spans="13:26">
      <c r="M122"/>
      <c r="N122"/>
      <c r="O122"/>
      <c r="P122"/>
      <c r="Q122"/>
      <c r="R122"/>
      <c r="S122"/>
      <c r="T122"/>
      <c r="U122"/>
      <c r="V122"/>
      <c r="W122"/>
      <c r="X122"/>
      <c r="Y122"/>
      <c r="Z122"/>
    </row>
    <row r="123" spans="13:26">
      <c r="M123"/>
      <c r="N123"/>
      <c r="O123"/>
      <c r="P123"/>
      <c r="Q123"/>
      <c r="R123"/>
      <c r="S123"/>
      <c r="T123"/>
      <c r="U123"/>
      <c r="V123"/>
      <c r="W123"/>
      <c r="X123"/>
      <c r="Y123"/>
      <c r="Z123"/>
    </row>
    <row r="124" spans="13:26">
      <c r="M124"/>
      <c r="N124"/>
      <c r="O124"/>
      <c r="P124"/>
      <c r="Q124"/>
      <c r="R124"/>
      <c r="S124"/>
      <c r="T124"/>
      <c r="U124"/>
      <c r="V124"/>
      <c r="W124"/>
      <c r="X124"/>
      <c r="Y124"/>
      <c r="Z124"/>
    </row>
    <row r="125" spans="13:26">
      <c r="M125"/>
      <c r="N125"/>
      <c r="O125"/>
      <c r="P125"/>
      <c r="Q125"/>
      <c r="R125"/>
      <c r="S125"/>
      <c r="T125"/>
      <c r="U125"/>
      <c r="V125"/>
      <c r="W125"/>
      <c r="X125"/>
      <c r="Y125"/>
      <c r="Z125"/>
    </row>
    <row r="126" spans="13:26">
      <c r="M126"/>
      <c r="N126"/>
      <c r="O126"/>
      <c r="P126"/>
      <c r="Q126"/>
      <c r="R126"/>
      <c r="S126"/>
      <c r="T126"/>
      <c r="U126"/>
      <c r="V126"/>
      <c r="W126"/>
      <c r="X126"/>
      <c r="Y126"/>
      <c r="Z126"/>
    </row>
    <row r="127" spans="13:26">
      <c r="M127"/>
      <c r="N127"/>
      <c r="O127"/>
      <c r="P127"/>
      <c r="Q127"/>
      <c r="R127"/>
      <c r="S127"/>
      <c r="T127"/>
      <c r="U127"/>
      <c r="V127"/>
      <c r="W127"/>
      <c r="X127"/>
      <c r="Y127"/>
      <c r="Z127"/>
    </row>
    <row r="128" spans="13:26">
      <c r="M128"/>
      <c r="N128"/>
      <c r="O128"/>
      <c r="P128"/>
      <c r="Q128"/>
      <c r="R128"/>
      <c r="S128"/>
      <c r="T128"/>
      <c r="U128"/>
      <c r="V128"/>
      <c r="W128"/>
      <c r="X128"/>
      <c r="Y128"/>
      <c r="Z128"/>
    </row>
    <row r="129" spans="1:26">
      <c r="M129"/>
      <c r="N129"/>
      <c r="O129"/>
      <c r="P129"/>
      <c r="Q129"/>
      <c r="R129"/>
      <c r="S129"/>
      <c r="T129"/>
      <c r="U129"/>
      <c r="V129"/>
      <c r="W129"/>
      <c r="X129"/>
      <c r="Y129"/>
      <c r="Z129"/>
    </row>
    <row r="130" spans="1:26">
      <c r="M130"/>
      <c r="N130"/>
      <c r="O130"/>
      <c r="P130"/>
      <c r="Q130"/>
      <c r="R130"/>
      <c r="S130"/>
      <c r="T130"/>
      <c r="U130"/>
      <c r="V130"/>
      <c r="W130"/>
      <c r="X130"/>
      <c r="Y130"/>
      <c r="Z130"/>
    </row>
    <row r="131" spans="1:26">
      <c r="M131"/>
      <c r="N131"/>
      <c r="O131"/>
      <c r="P131"/>
      <c r="Q131"/>
      <c r="R131"/>
      <c r="S131"/>
      <c r="T131"/>
      <c r="U131"/>
      <c r="V131"/>
      <c r="W131"/>
      <c r="X131"/>
      <c r="Y131"/>
      <c r="Z131"/>
    </row>
    <row r="132" spans="1:26">
      <c r="M132"/>
      <c r="N132"/>
      <c r="O132"/>
      <c r="P132"/>
      <c r="Q132"/>
      <c r="R132"/>
      <c r="S132"/>
      <c r="T132"/>
      <c r="U132"/>
      <c r="V132"/>
      <c r="W132"/>
      <c r="X132"/>
      <c r="Y132"/>
      <c r="Z132"/>
    </row>
    <row r="139" spans="1:26">
      <c r="A139"/>
      <c r="B139"/>
      <c r="C139"/>
      <c r="D139"/>
      <c r="E139"/>
      <c r="F139"/>
      <c r="G139"/>
      <c r="H139"/>
      <c r="I139"/>
      <c r="J139"/>
      <c r="K139"/>
      <c r="L139"/>
    </row>
    <row r="140" spans="1:26">
      <c r="A140"/>
      <c r="B140"/>
      <c r="C140"/>
      <c r="D140"/>
      <c r="E140"/>
      <c r="F140"/>
      <c r="G140"/>
      <c r="H140"/>
      <c r="I140"/>
      <c r="J140"/>
      <c r="K140"/>
      <c r="L140"/>
    </row>
    <row r="141" spans="1:26">
      <c r="A141"/>
      <c r="B141"/>
      <c r="C141"/>
      <c r="D141"/>
      <c r="E141"/>
      <c r="F141"/>
      <c r="G141"/>
      <c r="H141"/>
      <c r="I141"/>
      <c r="J141"/>
      <c r="K141"/>
      <c r="L141"/>
    </row>
    <row r="142" spans="1:26">
      <c r="A142"/>
      <c r="B142"/>
      <c r="C142"/>
      <c r="D142"/>
      <c r="E142"/>
      <c r="F142"/>
      <c r="G142"/>
      <c r="H142"/>
      <c r="I142"/>
      <c r="J142"/>
      <c r="K142"/>
      <c r="L142"/>
    </row>
    <row r="143" spans="1:26">
      <c r="A143"/>
      <c r="B143"/>
      <c r="C143"/>
      <c r="D143"/>
      <c r="E143"/>
      <c r="F143"/>
      <c r="G143"/>
      <c r="H143"/>
      <c r="I143"/>
      <c r="J143"/>
      <c r="K143"/>
      <c r="L143"/>
    </row>
    <row r="144" spans="1:26">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row>
    <row r="150" spans="1:12">
      <c r="A150"/>
      <c r="B150"/>
      <c r="C150"/>
      <c r="D150"/>
      <c r="E150"/>
      <c r="F150"/>
      <c r="G150"/>
      <c r="H150"/>
      <c r="I150"/>
    </row>
    <row r="151" spans="1:12">
      <c r="A151"/>
      <c r="B151"/>
      <c r="C151"/>
      <c r="D151"/>
      <c r="E151"/>
      <c r="F151"/>
      <c r="G151"/>
      <c r="H151"/>
      <c r="I151"/>
    </row>
    <row r="152" spans="1:12">
      <c r="A152"/>
      <c r="B152"/>
      <c r="C152"/>
      <c r="D152"/>
      <c r="E152"/>
      <c r="F152"/>
      <c r="G152"/>
      <c r="H152"/>
      <c r="I152"/>
    </row>
    <row r="153" spans="1:12">
      <c r="A153"/>
      <c r="B153"/>
      <c r="C153"/>
      <c r="D153"/>
      <c r="E153"/>
      <c r="F153"/>
      <c r="G153"/>
      <c r="H153"/>
      <c r="I153"/>
    </row>
    <row r="154" spans="1:12">
      <c r="A154"/>
      <c r="B154"/>
      <c r="C154"/>
      <c r="D154"/>
      <c r="E154"/>
      <c r="F154"/>
      <c r="G154"/>
      <c r="H154"/>
      <c r="I154"/>
    </row>
    <row r="155" spans="1:12">
      <c r="A155"/>
      <c r="B155"/>
      <c r="C155"/>
      <c r="D155"/>
      <c r="E155"/>
      <c r="F155"/>
      <c r="G155"/>
      <c r="H155"/>
      <c r="I155"/>
    </row>
    <row r="156" spans="1:12">
      <c r="A156"/>
      <c r="B156"/>
      <c r="C156"/>
      <c r="D156"/>
      <c r="E156"/>
      <c r="F156"/>
      <c r="G156"/>
      <c r="H156"/>
      <c r="I156"/>
    </row>
    <row r="157" spans="1:12">
      <c r="A157"/>
      <c r="B157"/>
      <c r="C157"/>
      <c r="D157"/>
      <c r="E157"/>
      <c r="F157"/>
      <c r="G157"/>
      <c r="H157"/>
      <c r="I157"/>
    </row>
    <row r="158" spans="1:12">
      <c r="A158"/>
      <c r="B158"/>
      <c r="C158"/>
      <c r="D158"/>
      <c r="E158"/>
      <c r="F158"/>
      <c r="G158"/>
      <c r="H158"/>
      <c r="I158"/>
    </row>
    <row r="159" spans="1:12">
      <c r="A159"/>
      <c r="B159"/>
      <c r="C159"/>
      <c r="D159"/>
      <c r="E159"/>
      <c r="F159"/>
      <c r="G159"/>
      <c r="H159"/>
      <c r="I159"/>
    </row>
    <row r="160" spans="1:12">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F813-B644-496F-B507-AD75F35064E1}">
  <dimension ref="A1:AC212"/>
  <sheetViews>
    <sheetView zoomScaleNormal="100" workbookViewId="0"/>
  </sheetViews>
  <sheetFormatPr defaultColWidth="9.109375" defaultRowHeight="15.6"/>
  <cols>
    <col min="1" max="1" width="10.33203125" style="1" customWidth="1"/>
    <col min="2" max="2" width="10.21875" style="1" customWidth="1"/>
    <col min="3" max="3" width="9.77734375" style="1" customWidth="1"/>
    <col min="4" max="7" width="12.33203125" style="1" customWidth="1"/>
    <col min="8" max="8" width="14.109375" style="1" customWidth="1"/>
    <col min="9" max="9" width="14.33203125" style="1" customWidth="1"/>
    <col min="10" max="12" width="12.33203125" style="1" customWidth="1"/>
    <col min="13"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26" ht="15.75" customHeight="1">
      <c r="A1" s="23" t="s">
        <v>42</v>
      </c>
      <c r="B1" s="22"/>
      <c r="C1" s="5" t="s">
        <v>38</v>
      </c>
      <c r="D1" s="22"/>
      <c r="E1" s="22"/>
      <c r="F1" s="22"/>
      <c r="G1" s="22"/>
      <c r="H1" s="22"/>
      <c r="I1" s="22"/>
      <c r="J1" s="22"/>
      <c r="K1" s="2"/>
      <c r="L1" s="2"/>
      <c r="M1" s="2"/>
      <c r="N1"/>
      <c r="O1"/>
      <c r="P1"/>
      <c r="Q1"/>
      <c r="R1"/>
      <c r="S1"/>
      <c r="T1"/>
      <c r="U1"/>
      <c r="V1"/>
      <c r="W1"/>
      <c r="X1"/>
      <c r="Y1"/>
      <c r="Z1"/>
    </row>
    <row r="2" spans="1:26" ht="15.75" customHeight="1">
      <c r="A2" s="21"/>
      <c r="B2" s="3"/>
      <c r="C2" s="3"/>
      <c r="D2" s="3"/>
      <c r="E2" s="3"/>
      <c r="F2" s="3"/>
      <c r="G2" s="3"/>
      <c r="H2" s="19"/>
      <c r="I2" s="19"/>
      <c r="J2" s="4"/>
      <c r="K2" s="4"/>
      <c r="L2" s="4"/>
      <c r="M2" s="4"/>
      <c r="N2"/>
      <c r="O2"/>
      <c r="P2"/>
      <c r="Q2"/>
      <c r="R2"/>
      <c r="S2"/>
      <c r="T2"/>
      <c r="U2"/>
      <c r="V2"/>
      <c r="W2"/>
      <c r="X2"/>
      <c r="Y2"/>
      <c r="Z2"/>
    </row>
    <row r="3" spans="1:26">
      <c r="A3" s="21" t="s">
        <v>314</v>
      </c>
      <c r="B3" s="3"/>
      <c r="C3" s="3"/>
      <c r="D3" s="3"/>
      <c r="E3" s="3"/>
      <c r="F3" s="3"/>
      <c r="G3" s="2"/>
      <c r="H3" s="2"/>
      <c r="I3" s="2"/>
      <c r="J3" s="2"/>
      <c r="K3" s="2"/>
      <c r="L3" s="2"/>
      <c r="M3" s="2"/>
      <c r="W3"/>
      <c r="X3"/>
      <c r="Y3"/>
      <c r="Z3"/>
    </row>
    <row r="4" spans="1:26" ht="16.2">
      <c r="A4" s="5"/>
      <c r="B4" s="3"/>
      <c r="C4" s="3"/>
      <c r="D4" s="3"/>
      <c r="E4" s="3"/>
      <c r="F4" s="3"/>
      <c r="G4" s="2"/>
      <c r="H4" s="2"/>
      <c r="I4" s="2"/>
      <c r="J4" s="2"/>
      <c r="K4" s="2"/>
      <c r="L4" s="2"/>
      <c r="M4" s="2"/>
      <c r="W4"/>
      <c r="X4"/>
      <c r="Y4"/>
      <c r="Z4"/>
    </row>
    <row r="5" spans="1:26" ht="37.5" customHeight="1">
      <c r="A5" s="83" t="s">
        <v>31</v>
      </c>
      <c r="B5" s="83" t="s">
        <v>29</v>
      </c>
      <c r="C5" s="83" t="s">
        <v>116</v>
      </c>
      <c r="D5" s="84" t="s">
        <v>27</v>
      </c>
      <c r="E5" s="83" t="s">
        <v>26</v>
      </c>
      <c r="F5" s="83" t="s">
        <v>25</v>
      </c>
      <c r="G5" s="2"/>
      <c r="H5" s="2"/>
      <c r="I5" s="2"/>
      <c r="J5" s="2"/>
      <c r="K5" s="2"/>
      <c r="L5" s="2"/>
      <c r="M5" s="2"/>
      <c r="W5"/>
      <c r="X5"/>
      <c r="Y5"/>
      <c r="Z5"/>
    </row>
    <row r="6" spans="1:26">
      <c r="A6" s="11">
        <v>2019</v>
      </c>
      <c r="B6" s="11">
        <v>0</v>
      </c>
      <c r="C6" s="11">
        <v>12</v>
      </c>
      <c r="D6" s="208">
        <v>2500</v>
      </c>
      <c r="E6" s="11">
        <v>48</v>
      </c>
      <c r="F6" s="288">
        <v>5000</v>
      </c>
      <c r="G6" s="2"/>
      <c r="H6" s="2"/>
      <c r="I6" s="2"/>
      <c r="J6" s="2"/>
      <c r="K6" s="2"/>
      <c r="L6" s="2"/>
      <c r="M6" s="2"/>
      <c r="W6"/>
      <c r="X6"/>
      <c r="Y6"/>
      <c r="Z6"/>
    </row>
    <row r="7" spans="1:26" ht="15.75" customHeight="1">
      <c r="A7" s="11">
        <v>2019</v>
      </c>
      <c r="B7" s="11">
        <v>12</v>
      </c>
      <c r="C7" s="11">
        <v>24</v>
      </c>
      <c r="D7" s="208">
        <v>1800</v>
      </c>
      <c r="E7" s="11">
        <v>48</v>
      </c>
      <c r="F7" s="288">
        <v>5000</v>
      </c>
      <c r="G7" s="2"/>
      <c r="H7" s="2"/>
      <c r="I7" s="2"/>
      <c r="J7" s="2"/>
      <c r="K7" s="2"/>
      <c r="L7" s="2"/>
      <c r="M7" s="2"/>
      <c r="W7"/>
      <c r="X7"/>
      <c r="Y7"/>
      <c r="Z7"/>
    </row>
    <row r="8" spans="1:26">
      <c r="A8" s="11">
        <v>2019</v>
      </c>
      <c r="B8" s="11">
        <v>24</v>
      </c>
      <c r="C8" s="11">
        <v>36</v>
      </c>
      <c r="D8" s="208">
        <v>500</v>
      </c>
      <c r="E8" s="11">
        <v>48</v>
      </c>
      <c r="F8" s="288">
        <v>5000</v>
      </c>
      <c r="G8" s="2"/>
      <c r="H8" s="2"/>
      <c r="I8" s="2"/>
      <c r="J8" s="2"/>
      <c r="K8" s="2"/>
      <c r="L8" s="2"/>
      <c r="M8" s="2"/>
      <c r="W8"/>
      <c r="X8"/>
      <c r="Y8"/>
      <c r="Z8"/>
    </row>
    <row r="9" spans="1:26">
      <c r="A9" s="11">
        <v>2019</v>
      </c>
      <c r="B9" s="11">
        <v>36</v>
      </c>
      <c r="C9" s="11">
        <v>48</v>
      </c>
      <c r="D9" s="208">
        <v>200</v>
      </c>
      <c r="E9" s="11">
        <v>48</v>
      </c>
      <c r="F9" s="288">
        <v>5000</v>
      </c>
      <c r="G9" s="2"/>
      <c r="H9" s="2"/>
      <c r="I9" s="2"/>
      <c r="J9" s="2"/>
      <c r="K9" s="2"/>
      <c r="L9" s="2"/>
      <c r="M9" s="2"/>
      <c r="W9"/>
      <c r="X9"/>
      <c r="Y9"/>
      <c r="Z9"/>
    </row>
    <row r="10" spans="1:26">
      <c r="A10" s="11">
        <v>2020</v>
      </c>
      <c r="B10" s="11">
        <v>0</v>
      </c>
      <c r="C10" s="11">
        <v>12</v>
      </c>
      <c r="D10" s="208">
        <v>4100</v>
      </c>
      <c r="E10" s="11">
        <v>36</v>
      </c>
      <c r="F10" s="288">
        <v>7000</v>
      </c>
      <c r="G10" s="2"/>
      <c r="H10" s="2"/>
      <c r="I10" s="2"/>
      <c r="J10" s="2"/>
      <c r="K10" s="2"/>
      <c r="L10" s="2"/>
      <c r="M10" s="2"/>
      <c r="W10"/>
      <c r="X10"/>
      <c r="Y10"/>
      <c r="Z10"/>
    </row>
    <row r="11" spans="1:26" ht="15.75" customHeight="1">
      <c r="A11" s="11">
        <v>2020</v>
      </c>
      <c r="B11" s="11">
        <v>12</v>
      </c>
      <c r="C11" s="11">
        <v>24</v>
      </c>
      <c r="D11" s="208">
        <v>2000</v>
      </c>
      <c r="E11" s="11">
        <v>36</v>
      </c>
      <c r="F11" s="288">
        <v>7000</v>
      </c>
      <c r="G11" s="2"/>
      <c r="H11" s="2"/>
      <c r="I11" s="2"/>
      <c r="J11" s="2"/>
      <c r="K11" s="2"/>
      <c r="L11" s="2"/>
      <c r="M11" s="2"/>
      <c r="W11"/>
      <c r="X11"/>
      <c r="Y11"/>
      <c r="Z11"/>
    </row>
    <row r="12" spans="1:26">
      <c r="A12" s="11">
        <v>2020</v>
      </c>
      <c r="B12" s="11">
        <v>24</v>
      </c>
      <c r="C12" s="11">
        <v>36</v>
      </c>
      <c r="D12" s="208">
        <v>900</v>
      </c>
      <c r="E12" s="11">
        <v>36</v>
      </c>
      <c r="F12" s="288">
        <v>7000</v>
      </c>
      <c r="G12" s="2"/>
      <c r="H12" s="2"/>
      <c r="I12" s="2"/>
      <c r="J12" s="2"/>
      <c r="K12" s="2"/>
      <c r="L12" s="2"/>
      <c r="M12" s="2"/>
      <c r="W12"/>
      <c r="X12"/>
      <c r="Y12"/>
      <c r="Z12"/>
    </row>
    <row r="13" spans="1:26">
      <c r="A13" s="11">
        <v>2021</v>
      </c>
      <c r="B13" s="11">
        <v>0</v>
      </c>
      <c r="C13" s="11">
        <v>12</v>
      </c>
      <c r="D13" s="208">
        <v>4600</v>
      </c>
      <c r="E13" s="11">
        <v>24</v>
      </c>
      <c r="F13" s="288">
        <v>6800</v>
      </c>
      <c r="G13" s="2"/>
      <c r="H13" s="2"/>
      <c r="I13" s="2"/>
      <c r="J13" s="2"/>
      <c r="K13" s="2"/>
      <c r="L13" s="2"/>
      <c r="M13" s="2"/>
      <c r="W13"/>
      <c r="X13"/>
      <c r="Y13"/>
      <c r="Z13"/>
    </row>
    <row r="14" spans="1:26">
      <c r="A14" s="11">
        <v>2021</v>
      </c>
      <c r="B14" s="11">
        <v>12</v>
      </c>
      <c r="C14" s="11">
        <v>24</v>
      </c>
      <c r="D14" s="208">
        <v>2200</v>
      </c>
      <c r="E14" s="11">
        <v>24</v>
      </c>
      <c r="F14" s="288">
        <v>6800</v>
      </c>
      <c r="G14" s="2"/>
      <c r="H14" s="2"/>
      <c r="I14" s="2"/>
      <c r="J14" s="2"/>
      <c r="K14" s="2"/>
      <c r="L14" s="2"/>
      <c r="M14" s="2"/>
      <c r="W14"/>
      <c r="X14"/>
      <c r="Y14"/>
      <c r="Z14"/>
    </row>
    <row r="15" spans="1:26">
      <c r="A15" s="11">
        <v>2022</v>
      </c>
      <c r="B15" s="11">
        <v>0</v>
      </c>
      <c r="C15" s="11">
        <v>12</v>
      </c>
      <c r="D15" s="208">
        <v>5300</v>
      </c>
      <c r="E15" s="11">
        <v>12</v>
      </c>
      <c r="F15" s="288">
        <v>5300</v>
      </c>
      <c r="G15" s="2"/>
      <c r="H15" s="2"/>
      <c r="I15" s="2"/>
      <c r="J15" s="2"/>
      <c r="K15" s="2"/>
      <c r="L15" s="2"/>
      <c r="M15" s="2"/>
      <c r="W15"/>
      <c r="X15"/>
      <c r="Y15"/>
      <c r="Z15"/>
    </row>
    <row r="16" spans="1:26">
      <c r="A16" s="3"/>
      <c r="B16" s="3"/>
      <c r="C16" s="3"/>
      <c r="D16" s="3"/>
      <c r="E16" s="3"/>
      <c r="F16" s="3"/>
      <c r="G16" s="2"/>
      <c r="H16" s="2"/>
      <c r="I16" s="2"/>
      <c r="J16" s="2"/>
      <c r="K16" s="2"/>
      <c r="L16" s="2"/>
      <c r="M16" s="2"/>
      <c r="W16"/>
      <c r="X16"/>
      <c r="Y16"/>
      <c r="Z16"/>
    </row>
    <row r="17" spans="1:26">
      <c r="A17" s="162" t="s">
        <v>313</v>
      </c>
      <c r="B17" s="74"/>
      <c r="C17" s="2"/>
      <c r="D17" s="2"/>
      <c r="E17" s="2"/>
      <c r="F17" s="2"/>
      <c r="G17" s="2"/>
      <c r="H17" s="2"/>
      <c r="I17" s="2"/>
      <c r="J17" s="2"/>
      <c r="K17" s="2"/>
      <c r="L17" s="2"/>
      <c r="M17" s="2"/>
      <c r="N17"/>
      <c r="O17"/>
      <c r="P17"/>
      <c r="Q17"/>
      <c r="R17"/>
      <c r="S17"/>
      <c r="T17"/>
      <c r="U17"/>
      <c r="V17"/>
      <c r="W17"/>
      <c r="X17"/>
      <c r="Y17"/>
      <c r="Z17"/>
    </row>
    <row r="18" spans="1:26" ht="18.600000000000001">
      <c r="A18" s="3" t="s">
        <v>312</v>
      </c>
      <c r="B18" s="74"/>
      <c r="C18" s="2"/>
      <c r="D18" s="2"/>
      <c r="E18" s="2"/>
      <c r="F18" s="2"/>
      <c r="G18" s="2"/>
      <c r="H18" s="2"/>
      <c r="I18" s="2"/>
      <c r="J18" s="2"/>
      <c r="K18" s="2"/>
      <c r="L18" s="2"/>
      <c r="M18" s="2"/>
      <c r="N18"/>
      <c r="O18"/>
      <c r="P18"/>
      <c r="Q18"/>
      <c r="R18"/>
      <c r="S18"/>
      <c r="T18"/>
      <c r="U18"/>
      <c r="V18"/>
      <c r="W18"/>
      <c r="X18"/>
      <c r="Y18"/>
      <c r="Z18"/>
    </row>
    <row r="19" spans="1:26">
      <c r="A19" s="162"/>
      <c r="B19" s="74"/>
      <c r="C19" s="2"/>
      <c r="D19" s="2"/>
      <c r="E19" s="2"/>
      <c r="F19" s="2"/>
      <c r="G19" s="2"/>
      <c r="H19" s="2"/>
      <c r="I19" s="2"/>
      <c r="J19" s="2"/>
      <c r="K19" s="2"/>
      <c r="L19" s="2"/>
      <c r="M19" s="2"/>
      <c r="N19"/>
      <c r="O19"/>
      <c r="P19"/>
      <c r="Q19"/>
      <c r="R19"/>
      <c r="S19"/>
      <c r="T19"/>
      <c r="U19"/>
      <c r="V19"/>
      <c r="W19"/>
      <c r="X19"/>
      <c r="Y19"/>
      <c r="Z19"/>
    </row>
    <row r="20" spans="1:26">
      <c r="A20" s="162" t="s">
        <v>311</v>
      </c>
      <c r="B20" s="74"/>
      <c r="C20" s="2"/>
      <c r="D20" s="2"/>
      <c r="E20" s="2"/>
      <c r="F20" s="2"/>
      <c r="G20" s="2"/>
      <c r="H20" s="2"/>
      <c r="I20" s="2"/>
      <c r="J20" s="2"/>
      <c r="K20" s="2"/>
      <c r="L20" s="2"/>
      <c r="M20" s="2"/>
      <c r="N20"/>
      <c r="O20"/>
      <c r="P20"/>
      <c r="Q20"/>
      <c r="R20"/>
      <c r="S20"/>
      <c r="T20"/>
      <c r="U20"/>
      <c r="V20"/>
      <c r="W20"/>
      <c r="X20"/>
      <c r="Y20"/>
      <c r="Z20"/>
    </row>
    <row r="21" spans="1:26">
      <c r="A21" s="3"/>
      <c r="B21" s="161"/>
      <c r="C21" s="2"/>
      <c r="D21" s="2"/>
      <c r="E21" s="2"/>
      <c r="F21" s="2"/>
      <c r="G21" s="2"/>
      <c r="H21" s="2"/>
      <c r="I21" s="2"/>
      <c r="J21" s="2"/>
      <c r="K21" s="2"/>
      <c r="L21" s="2"/>
      <c r="M21" s="2"/>
      <c r="N21"/>
      <c r="O21"/>
      <c r="P21"/>
      <c r="Q21"/>
      <c r="R21"/>
      <c r="S21"/>
      <c r="T21"/>
      <c r="U21"/>
      <c r="V21"/>
      <c r="W21"/>
      <c r="X21"/>
      <c r="Y21"/>
      <c r="Z21"/>
    </row>
    <row r="22" spans="1:26">
      <c r="A22" s="3" t="s">
        <v>80</v>
      </c>
      <c r="B22" s="3" t="s">
        <v>310</v>
      </c>
      <c r="C22" s="3"/>
      <c r="D22" s="3"/>
      <c r="E22" s="3"/>
      <c r="F22" s="3"/>
      <c r="G22" s="3"/>
      <c r="H22" s="3"/>
      <c r="I22" s="2"/>
      <c r="J22" s="2"/>
      <c r="K22" s="2"/>
      <c r="L22" s="2"/>
      <c r="M22" s="2"/>
      <c r="N22"/>
      <c r="O22"/>
      <c r="P22"/>
      <c r="Q22"/>
      <c r="R22"/>
      <c r="S22"/>
      <c r="T22"/>
      <c r="U22"/>
      <c r="V22"/>
      <c r="W22"/>
      <c r="X22"/>
      <c r="Y22"/>
      <c r="Z22"/>
    </row>
    <row r="23" spans="1:26" ht="16.2">
      <c r="A23" s="5"/>
      <c r="B23" s="5" t="s">
        <v>64</v>
      </c>
      <c r="C23" s="5"/>
      <c r="D23" s="4"/>
      <c r="E23" s="4"/>
      <c r="F23" s="3"/>
      <c r="G23" s="3"/>
      <c r="H23" s="3"/>
      <c r="I23" s="2"/>
      <c r="J23" s="2"/>
      <c r="K23" s="2"/>
      <c r="L23" s="2"/>
      <c r="M23" s="2"/>
      <c r="N23"/>
      <c r="O23"/>
      <c r="P23"/>
      <c r="Q23"/>
      <c r="R23"/>
      <c r="S23"/>
      <c r="T23"/>
      <c r="U23"/>
      <c r="V23"/>
      <c r="W23"/>
      <c r="X23"/>
      <c r="Y23"/>
      <c r="Z23"/>
    </row>
    <row r="24" spans="1:26">
      <c r="B24" s="1685" t="s">
        <v>309</v>
      </c>
      <c r="C24" s="1686"/>
      <c r="D24" s="1686"/>
      <c r="E24" s="1686"/>
      <c r="F24" s="1686"/>
      <c r="G24" s="1686"/>
      <c r="H24" s="1686"/>
      <c r="I24" s="1686"/>
      <c r="J24" s="1686"/>
      <c r="K24" s="1686"/>
      <c r="L24" s="1686"/>
      <c r="M24" s="1686"/>
      <c r="N24"/>
      <c r="O24"/>
      <c r="P24"/>
      <c r="Q24"/>
      <c r="R24"/>
      <c r="S24"/>
      <c r="T24"/>
      <c r="U24"/>
      <c r="V24"/>
      <c r="W24"/>
      <c r="X24"/>
      <c r="Y24"/>
      <c r="Z24"/>
    </row>
    <row r="25" spans="1:26">
      <c r="B25" s="1686"/>
      <c r="C25" s="1686"/>
      <c r="D25" s="1686"/>
      <c r="E25" s="1686"/>
      <c r="F25" s="1686"/>
      <c r="G25" s="1686"/>
      <c r="H25" s="1686"/>
      <c r="I25" s="1686"/>
      <c r="J25" s="1686"/>
      <c r="K25" s="1686"/>
      <c r="L25" s="1686"/>
      <c r="M25" s="1686"/>
      <c r="N25"/>
      <c r="O25"/>
      <c r="P25"/>
      <c r="Q25"/>
      <c r="R25"/>
      <c r="S25"/>
      <c r="T25"/>
      <c r="U25"/>
      <c r="V25"/>
      <c r="W25"/>
      <c r="X25"/>
      <c r="Y25"/>
      <c r="Z25"/>
    </row>
    <row r="26" spans="1:26">
      <c r="B26" s="1686"/>
      <c r="C26" s="1686"/>
      <c r="D26" s="1686"/>
      <c r="E26" s="1686"/>
      <c r="F26" s="1686"/>
      <c r="G26" s="1686"/>
      <c r="H26" s="1686"/>
      <c r="I26" s="1686"/>
      <c r="J26" s="1686"/>
      <c r="K26" s="1686"/>
      <c r="L26" s="1686"/>
      <c r="M26" s="1686"/>
      <c r="N26"/>
      <c r="O26"/>
      <c r="P26"/>
      <c r="Q26"/>
      <c r="R26"/>
      <c r="S26"/>
      <c r="T26"/>
      <c r="U26"/>
      <c r="V26"/>
      <c r="W26"/>
      <c r="X26"/>
      <c r="Y26"/>
      <c r="Z26"/>
    </row>
    <row r="27" spans="1:26" ht="16.8">
      <c r="A27" s="3" t="s">
        <v>308</v>
      </c>
      <c r="B27" s="44"/>
      <c r="C27" s="44"/>
      <c r="D27" s="44"/>
      <c r="E27" s="44"/>
      <c r="F27" s="44"/>
      <c r="G27" s="44"/>
      <c r="H27" s="44"/>
      <c r="I27" s="44"/>
      <c r="J27" s="44"/>
      <c r="K27" s="44"/>
      <c r="L27" s="44"/>
      <c r="M27" s="44"/>
      <c r="N27"/>
      <c r="O27"/>
      <c r="P27"/>
      <c r="Q27"/>
      <c r="R27"/>
      <c r="S27"/>
      <c r="T27"/>
      <c r="U27"/>
      <c r="V27"/>
      <c r="W27"/>
      <c r="X27"/>
      <c r="Y27"/>
      <c r="Z27"/>
    </row>
    <row r="28" spans="1:26">
      <c r="A28" s="44"/>
      <c r="B28" s="44"/>
      <c r="C28" s="44"/>
      <c r="D28" s="44"/>
      <c r="E28" s="44"/>
      <c r="F28" s="44"/>
      <c r="G28" s="44"/>
      <c r="H28" s="44"/>
      <c r="I28" s="44"/>
      <c r="J28" s="44"/>
      <c r="K28" s="6" t="s">
        <v>307</v>
      </c>
      <c r="L28" s="286">
        <v>6.8410000000000002</v>
      </c>
      <c r="M28" s="44"/>
      <c r="N28"/>
      <c r="O28"/>
      <c r="P28"/>
      <c r="Q28"/>
      <c r="R28"/>
      <c r="S28"/>
      <c r="T28"/>
      <c r="U28"/>
      <c r="V28"/>
      <c r="W28"/>
      <c r="X28"/>
      <c r="Y28"/>
      <c r="Z28"/>
    </row>
    <row r="29" spans="1:26" ht="16.8">
      <c r="A29" s="3" t="s">
        <v>9</v>
      </c>
      <c r="B29" s="3" t="s">
        <v>306</v>
      </c>
      <c r="C29" s="3"/>
      <c r="D29" s="3"/>
      <c r="E29" s="3"/>
      <c r="F29" s="3"/>
      <c r="G29" s="3"/>
      <c r="H29" s="3"/>
      <c r="I29" s="2"/>
      <c r="J29" s="2"/>
      <c r="K29" s="6" t="s">
        <v>305</v>
      </c>
      <c r="L29" s="6">
        <v>0.98040000000000005</v>
      </c>
      <c r="M29" s="2"/>
      <c r="N29"/>
      <c r="O29"/>
      <c r="P29"/>
      <c r="Q29"/>
      <c r="R29"/>
      <c r="S29"/>
      <c r="T29"/>
      <c r="U29"/>
      <c r="V29"/>
      <c r="W29"/>
      <c r="X29"/>
      <c r="Y29"/>
      <c r="Z29"/>
    </row>
    <row r="30" spans="1:26" ht="16.2">
      <c r="A30" s="5"/>
      <c r="B30" s="5" t="s">
        <v>64</v>
      </c>
      <c r="C30" s="5"/>
      <c r="D30" s="4"/>
      <c r="E30" s="4"/>
      <c r="F30" s="3"/>
      <c r="G30" s="3"/>
      <c r="H30" s="3"/>
      <c r="I30" s="2"/>
      <c r="J30" s="2"/>
      <c r="K30" s="2"/>
      <c r="L30" s="2"/>
      <c r="M30" s="2"/>
      <c r="N30"/>
      <c r="O30"/>
      <c r="P30"/>
      <c r="Q30"/>
      <c r="R30"/>
      <c r="S30"/>
      <c r="T30"/>
      <c r="U30"/>
      <c r="V30"/>
      <c r="W30"/>
      <c r="X30"/>
      <c r="Y30"/>
      <c r="Z30"/>
    </row>
    <row r="31" spans="1:26">
      <c r="N31"/>
      <c r="O31"/>
      <c r="P31"/>
      <c r="Q31"/>
      <c r="R31"/>
      <c r="S31"/>
      <c r="T31"/>
      <c r="U31"/>
      <c r="V31"/>
      <c r="W31"/>
      <c r="X31"/>
      <c r="Y31"/>
      <c r="Z31"/>
    </row>
    <row r="32" spans="1:26" ht="46.8">
      <c r="A32" s="279" t="s">
        <v>31</v>
      </c>
      <c r="B32" s="279" t="s">
        <v>29</v>
      </c>
      <c r="C32" s="279" t="s">
        <v>116</v>
      </c>
      <c r="D32" s="279" t="s">
        <v>25</v>
      </c>
      <c r="E32" s="280" t="s">
        <v>297</v>
      </c>
      <c r="G32" s="36" t="s">
        <v>47</v>
      </c>
      <c r="H32" s="1687" t="s">
        <v>304</v>
      </c>
      <c r="I32" s="1688"/>
      <c r="N32"/>
      <c r="O32"/>
      <c r="P32"/>
      <c r="Q32"/>
      <c r="R32"/>
      <c r="S32"/>
      <c r="T32"/>
      <c r="U32"/>
      <c r="V32"/>
      <c r="W32"/>
      <c r="X32"/>
      <c r="Y32"/>
      <c r="Z32"/>
    </row>
    <row r="33" spans="1:26" ht="18.600000000000001">
      <c r="A33" s="36">
        <f t="shared" ref="A33:C42" si="0">A6</f>
        <v>2019</v>
      </c>
      <c r="B33" s="36">
        <f t="shared" si="0"/>
        <v>0</v>
      </c>
      <c r="C33" s="36">
        <f t="shared" si="0"/>
        <v>12</v>
      </c>
      <c r="D33" s="282">
        <f t="shared" ref="D33:D42" si="1">F6</f>
        <v>5000</v>
      </c>
      <c r="E33" s="9">
        <f t="shared" ref="E33:E42" si="2">((C33-6)^$L$29)/(((C33-6)^$L$29)+($L$28^$L$29))</f>
        <v>0.46789338050430396</v>
      </c>
      <c r="G33" s="36">
        <v>2019</v>
      </c>
      <c r="H33" s="284" t="s">
        <v>303</v>
      </c>
      <c r="I33" s="283">
        <f>D36/E36</f>
        <v>5843.8935091162102</v>
      </c>
      <c r="N33"/>
      <c r="O33"/>
      <c r="P33"/>
      <c r="Q33"/>
      <c r="R33"/>
      <c r="S33"/>
      <c r="T33"/>
      <c r="U33"/>
      <c r="V33"/>
      <c r="W33"/>
      <c r="X33"/>
      <c r="Y33"/>
      <c r="Z33"/>
    </row>
    <row r="34" spans="1:26" ht="18.600000000000001">
      <c r="A34" s="36">
        <f t="shared" si="0"/>
        <v>2019</v>
      </c>
      <c r="B34" s="36">
        <f t="shared" si="0"/>
        <v>12</v>
      </c>
      <c r="C34" s="36">
        <f t="shared" si="0"/>
        <v>24</v>
      </c>
      <c r="D34" s="282">
        <f t="shared" si="1"/>
        <v>5000</v>
      </c>
      <c r="E34" s="9">
        <f t="shared" si="2"/>
        <v>0.72080859742433112</v>
      </c>
      <c r="G34" s="36">
        <v>2020</v>
      </c>
      <c r="H34" s="284" t="s">
        <v>302</v>
      </c>
      <c r="I34" s="283">
        <f>D39/E39</f>
        <v>8643.1590697661868</v>
      </c>
      <c r="N34"/>
      <c r="O34"/>
      <c r="P34"/>
      <c r="Q34"/>
      <c r="R34"/>
      <c r="S34"/>
      <c r="T34"/>
      <c r="U34"/>
      <c r="V34"/>
      <c r="W34"/>
      <c r="X34"/>
      <c r="Y34"/>
      <c r="Z34"/>
    </row>
    <row r="35" spans="1:26" ht="18.600000000000001">
      <c r="A35" s="36">
        <f t="shared" si="0"/>
        <v>2019</v>
      </c>
      <c r="B35" s="36">
        <f t="shared" si="0"/>
        <v>24</v>
      </c>
      <c r="C35" s="36">
        <f t="shared" si="0"/>
        <v>36</v>
      </c>
      <c r="D35" s="282">
        <f t="shared" si="1"/>
        <v>5000</v>
      </c>
      <c r="E35" s="9">
        <f t="shared" si="2"/>
        <v>0.80988906295685736</v>
      </c>
      <c r="G35" s="36">
        <v>2021</v>
      </c>
      <c r="H35" s="284" t="s">
        <v>301</v>
      </c>
      <c r="I35" s="283">
        <f>D41/E41</f>
        <v>9433.8497408306084</v>
      </c>
      <c r="N35"/>
      <c r="O35"/>
      <c r="P35"/>
      <c r="Q35"/>
      <c r="R35"/>
      <c r="S35"/>
      <c r="T35"/>
      <c r="U35"/>
      <c r="V35"/>
      <c r="W35"/>
      <c r="X35"/>
      <c r="Y35"/>
      <c r="Z35"/>
    </row>
    <row r="36" spans="1:26" ht="18.600000000000001" customHeight="1">
      <c r="A36" s="36">
        <f t="shared" si="0"/>
        <v>2019</v>
      </c>
      <c r="B36" s="36">
        <f t="shared" si="0"/>
        <v>36</v>
      </c>
      <c r="C36" s="36">
        <f t="shared" si="0"/>
        <v>48</v>
      </c>
      <c r="D36" s="282">
        <f t="shared" si="1"/>
        <v>5000</v>
      </c>
      <c r="E36" s="9">
        <f t="shared" si="2"/>
        <v>0.85559396183387415</v>
      </c>
      <c r="G36" s="36">
        <v>2022</v>
      </c>
      <c r="H36" s="284" t="s">
        <v>300</v>
      </c>
      <c r="I36" s="283">
        <f>D42/E42</f>
        <v>11327.366919120685</v>
      </c>
      <c r="N36"/>
      <c r="O36"/>
      <c r="P36"/>
      <c r="Q36"/>
      <c r="R36"/>
      <c r="S36"/>
      <c r="T36"/>
      <c r="U36"/>
      <c r="V36"/>
      <c r="W36"/>
      <c r="X36"/>
      <c r="Y36"/>
      <c r="Z36"/>
    </row>
    <row r="37" spans="1:26" ht="18.600000000000001" customHeight="1">
      <c r="A37" s="36">
        <f t="shared" si="0"/>
        <v>2020</v>
      </c>
      <c r="B37" s="36">
        <f t="shared" si="0"/>
        <v>0</v>
      </c>
      <c r="C37" s="36">
        <f t="shared" si="0"/>
        <v>12</v>
      </c>
      <c r="D37" s="282">
        <f t="shared" si="1"/>
        <v>7000</v>
      </c>
      <c r="E37" s="9">
        <f t="shared" si="2"/>
        <v>0.46789338050430396</v>
      </c>
      <c r="N37"/>
      <c r="O37"/>
      <c r="P37"/>
      <c r="Q37"/>
      <c r="R37"/>
      <c r="S37"/>
      <c r="T37"/>
      <c r="U37"/>
      <c r="V37"/>
      <c r="W37"/>
      <c r="X37"/>
      <c r="Y37"/>
      <c r="Z37"/>
    </row>
    <row r="38" spans="1:26" ht="18.600000000000001" customHeight="1">
      <c r="A38" s="36">
        <f t="shared" si="0"/>
        <v>2020</v>
      </c>
      <c r="B38" s="36">
        <f t="shared" si="0"/>
        <v>12</v>
      </c>
      <c r="C38" s="36">
        <f t="shared" si="0"/>
        <v>24</v>
      </c>
      <c r="D38" s="282">
        <f t="shared" si="1"/>
        <v>7000</v>
      </c>
      <c r="E38" s="9">
        <f t="shared" si="2"/>
        <v>0.72080859742433112</v>
      </c>
      <c r="N38"/>
      <c r="O38"/>
      <c r="P38"/>
      <c r="Q38"/>
      <c r="R38"/>
      <c r="S38"/>
      <c r="T38"/>
      <c r="U38"/>
      <c r="V38"/>
      <c r="W38"/>
      <c r="X38"/>
      <c r="Y38"/>
      <c r="Z38"/>
    </row>
    <row r="39" spans="1:26" ht="18.600000000000001" customHeight="1">
      <c r="A39" s="36">
        <f t="shared" si="0"/>
        <v>2020</v>
      </c>
      <c r="B39" s="36">
        <f t="shared" si="0"/>
        <v>24</v>
      </c>
      <c r="C39" s="36">
        <f t="shared" si="0"/>
        <v>36</v>
      </c>
      <c r="D39" s="282">
        <f t="shared" si="1"/>
        <v>7000</v>
      </c>
      <c r="E39" s="9">
        <f t="shared" si="2"/>
        <v>0.80988906295685736</v>
      </c>
      <c r="N39"/>
      <c r="O39"/>
      <c r="P39"/>
      <c r="Q39"/>
      <c r="R39"/>
      <c r="S39"/>
      <c r="T39"/>
      <c r="U39"/>
      <c r="V39"/>
      <c r="W39"/>
      <c r="X39"/>
      <c r="Y39"/>
      <c r="Z39"/>
    </row>
    <row r="40" spans="1:26" ht="18.600000000000001" customHeight="1">
      <c r="A40" s="36">
        <f t="shared" si="0"/>
        <v>2021</v>
      </c>
      <c r="B40" s="36">
        <f t="shared" si="0"/>
        <v>0</v>
      </c>
      <c r="C40" s="36">
        <f t="shared" si="0"/>
        <v>12</v>
      </c>
      <c r="D40" s="282">
        <f t="shared" si="1"/>
        <v>6800</v>
      </c>
      <c r="E40" s="9">
        <f t="shared" si="2"/>
        <v>0.46789338050430396</v>
      </c>
      <c r="N40"/>
      <c r="O40"/>
      <c r="P40"/>
      <c r="Q40"/>
      <c r="R40"/>
      <c r="S40"/>
      <c r="T40"/>
      <c r="U40"/>
      <c r="V40"/>
      <c r="W40"/>
      <c r="X40"/>
      <c r="Y40"/>
      <c r="Z40"/>
    </row>
    <row r="41" spans="1:26" ht="18.600000000000001" customHeight="1">
      <c r="A41" s="36">
        <f t="shared" si="0"/>
        <v>2021</v>
      </c>
      <c r="B41" s="36">
        <f t="shared" si="0"/>
        <v>12</v>
      </c>
      <c r="C41" s="36">
        <f t="shared" si="0"/>
        <v>24</v>
      </c>
      <c r="D41" s="282">
        <f t="shared" si="1"/>
        <v>6800</v>
      </c>
      <c r="E41" s="9">
        <f t="shared" si="2"/>
        <v>0.72080859742433112</v>
      </c>
      <c r="N41"/>
      <c r="O41"/>
      <c r="P41"/>
      <c r="Q41"/>
      <c r="R41"/>
      <c r="S41"/>
      <c r="T41"/>
      <c r="U41"/>
      <c r="V41"/>
      <c r="W41"/>
      <c r="X41"/>
      <c r="Y41"/>
      <c r="Z41"/>
    </row>
    <row r="42" spans="1:26" ht="18.600000000000001" customHeight="1">
      <c r="A42" s="36">
        <f t="shared" si="0"/>
        <v>2022</v>
      </c>
      <c r="B42" s="36">
        <f t="shared" si="0"/>
        <v>0</v>
      </c>
      <c r="C42" s="36">
        <f t="shared" si="0"/>
        <v>12</v>
      </c>
      <c r="D42" s="282">
        <f t="shared" si="1"/>
        <v>5300</v>
      </c>
      <c r="E42" s="9">
        <f t="shared" si="2"/>
        <v>0.46789338050430396</v>
      </c>
      <c r="N42"/>
      <c r="O42"/>
      <c r="P42"/>
      <c r="Q42"/>
      <c r="R42"/>
      <c r="S42"/>
      <c r="T42"/>
      <c r="U42"/>
      <c r="V42"/>
      <c r="W42"/>
      <c r="X42"/>
      <c r="Y42"/>
      <c r="Z42"/>
    </row>
    <row r="43" spans="1:26">
      <c r="N43"/>
      <c r="O43"/>
      <c r="P43"/>
      <c r="Q43"/>
      <c r="R43"/>
      <c r="S43"/>
      <c r="T43"/>
      <c r="U43"/>
      <c r="V43"/>
      <c r="W43"/>
      <c r="X43"/>
      <c r="Y43"/>
      <c r="Z43"/>
    </row>
    <row r="44" spans="1:26">
      <c r="A44" s="3" t="s">
        <v>7</v>
      </c>
      <c r="B44" s="3" t="s">
        <v>299</v>
      </c>
      <c r="C44" s="44"/>
      <c r="D44" s="281"/>
      <c r="E44" s="3"/>
      <c r="F44" s="3"/>
      <c r="G44" s="3"/>
      <c r="H44" s="3"/>
      <c r="I44" s="2"/>
      <c r="J44" s="2"/>
      <c r="K44" s="2"/>
      <c r="L44" s="2"/>
      <c r="M44" s="2"/>
      <c r="N44"/>
      <c r="O44"/>
      <c r="P44"/>
      <c r="Q44"/>
      <c r="R44"/>
      <c r="S44"/>
      <c r="T44"/>
      <c r="U44"/>
      <c r="V44"/>
      <c r="W44"/>
      <c r="X44"/>
      <c r="Y44"/>
      <c r="Z44"/>
    </row>
    <row r="45" spans="1:26" ht="16.2">
      <c r="A45" s="5"/>
      <c r="B45" s="5" t="s">
        <v>64</v>
      </c>
      <c r="C45" s="5"/>
      <c r="D45" s="4"/>
      <c r="E45" s="4"/>
      <c r="F45" s="3"/>
      <c r="G45" s="3"/>
      <c r="H45" s="3"/>
      <c r="I45" s="2"/>
      <c r="J45" s="2"/>
      <c r="K45" s="2"/>
      <c r="L45" s="2"/>
      <c r="M45" s="2"/>
      <c r="N45"/>
      <c r="O45"/>
      <c r="P45"/>
      <c r="Q45"/>
      <c r="R45"/>
      <c r="S45"/>
      <c r="T45"/>
      <c r="U45"/>
      <c r="V45"/>
      <c r="W45"/>
      <c r="X45"/>
      <c r="Y45"/>
      <c r="Z45"/>
    </row>
    <row r="46" spans="1:26">
      <c r="N46"/>
      <c r="O46"/>
      <c r="P46"/>
      <c r="Q46"/>
      <c r="R46"/>
      <c r="S46"/>
      <c r="T46"/>
      <c r="U46"/>
      <c r="V46"/>
      <c r="W46"/>
      <c r="X46"/>
      <c r="Y46"/>
      <c r="Z46"/>
    </row>
    <row r="47" spans="1:26" ht="46.8">
      <c r="A47" s="279" t="s">
        <v>31</v>
      </c>
      <c r="B47" s="279" t="s">
        <v>29</v>
      </c>
      <c r="C47" s="279" t="s">
        <v>116</v>
      </c>
      <c r="D47" s="279" t="s">
        <v>27</v>
      </c>
      <c r="E47" s="280" t="s">
        <v>298</v>
      </c>
      <c r="F47" s="280" t="s">
        <v>297</v>
      </c>
      <c r="G47" s="279" t="s">
        <v>24</v>
      </c>
      <c r="H47" s="279" t="s">
        <v>22</v>
      </c>
      <c r="N47"/>
      <c r="O47"/>
      <c r="P47"/>
      <c r="Q47"/>
      <c r="R47"/>
      <c r="S47"/>
      <c r="T47"/>
      <c r="U47"/>
      <c r="V47"/>
      <c r="W47"/>
      <c r="X47"/>
      <c r="Y47"/>
      <c r="Z47"/>
    </row>
    <row r="48" spans="1:26">
      <c r="A48" s="36">
        <f t="shared" ref="A48:C57" si="3">A33</f>
        <v>2019</v>
      </c>
      <c r="B48" s="36">
        <f t="shared" si="3"/>
        <v>0</v>
      </c>
      <c r="C48" s="36">
        <f t="shared" si="3"/>
        <v>12</v>
      </c>
      <c r="D48" s="278">
        <f t="shared" ref="D48:D57" si="4">D6</f>
        <v>2500</v>
      </c>
      <c r="E48" s="9">
        <f t="shared" ref="E48:E57" si="5">IF(B48&lt;=6,0,((B48-6)^$L$29)/(((B48-6)^$L$29)+($L$28^$L$29)))</f>
        <v>0</v>
      </c>
      <c r="F48" s="9">
        <f t="shared" ref="F48:F57" si="6">E33</f>
        <v>0.46789338050430396</v>
      </c>
      <c r="G48" s="9">
        <f t="shared" ref="G48:G57" si="7">(F48-E48)*VLOOKUP(A48,$G$33:$I$36,3)</f>
        <v>2734.3190892875432</v>
      </c>
      <c r="H48" s="9">
        <f t="shared" ref="H48:H57" si="8">(D48-G48)^2/G48</f>
        <v>20.080112748965902</v>
      </c>
      <c r="N48"/>
      <c r="O48"/>
      <c r="P48"/>
      <c r="Q48"/>
      <c r="R48"/>
      <c r="S48"/>
      <c r="T48"/>
      <c r="U48"/>
      <c r="V48"/>
      <c r="W48"/>
      <c r="X48"/>
      <c r="Y48"/>
      <c r="Z48"/>
    </row>
    <row r="49" spans="1:29">
      <c r="A49" s="36">
        <f t="shared" si="3"/>
        <v>2019</v>
      </c>
      <c r="B49" s="36">
        <f t="shared" si="3"/>
        <v>12</v>
      </c>
      <c r="C49" s="36">
        <f t="shared" si="3"/>
        <v>24</v>
      </c>
      <c r="D49" s="278">
        <f t="shared" si="4"/>
        <v>1800</v>
      </c>
      <c r="E49" s="9">
        <f t="shared" si="5"/>
        <v>0.46789338050430396</v>
      </c>
      <c r="F49" s="9">
        <f t="shared" si="6"/>
        <v>0.72080859742433112</v>
      </c>
      <c r="G49" s="9">
        <f t="shared" si="7"/>
        <v>1478.009594515665</v>
      </c>
      <c r="H49" s="9">
        <f t="shared" si="8"/>
        <v>70.146920296509379</v>
      </c>
      <c r="N49"/>
      <c r="O49"/>
      <c r="P49"/>
      <c r="Q49"/>
      <c r="R49"/>
      <c r="S49"/>
      <c r="T49"/>
      <c r="U49"/>
      <c r="V49"/>
      <c r="W49"/>
      <c r="X49"/>
      <c r="Y49"/>
      <c r="Z49"/>
    </row>
    <row r="50" spans="1:29">
      <c r="A50" s="36">
        <f t="shared" si="3"/>
        <v>2019</v>
      </c>
      <c r="B50" s="36">
        <f t="shared" si="3"/>
        <v>24</v>
      </c>
      <c r="C50" s="36">
        <f t="shared" si="3"/>
        <v>36</v>
      </c>
      <c r="D50" s="278">
        <f t="shared" si="4"/>
        <v>500</v>
      </c>
      <c r="E50" s="9">
        <f t="shared" si="5"/>
        <v>0.72080859742433112</v>
      </c>
      <c r="F50" s="9">
        <f t="shared" si="6"/>
        <v>0.80988906295685736</v>
      </c>
      <c r="G50" s="9">
        <f t="shared" si="7"/>
        <v>520.5767543145804</v>
      </c>
      <c r="H50" s="9">
        <f t="shared" si="8"/>
        <v>0.81333408496135817</v>
      </c>
      <c r="N50"/>
      <c r="O50"/>
      <c r="P50"/>
      <c r="Q50"/>
      <c r="R50"/>
      <c r="S50"/>
      <c r="T50"/>
      <c r="U50"/>
      <c r="V50"/>
      <c r="W50"/>
      <c r="X50"/>
      <c r="Y50"/>
      <c r="Z50"/>
    </row>
    <row r="51" spans="1:29">
      <c r="A51" s="36">
        <f t="shared" si="3"/>
        <v>2019</v>
      </c>
      <c r="B51" s="36">
        <f t="shared" si="3"/>
        <v>36</v>
      </c>
      <c r="C51" s="36">
        <f t="shared" si="3"/>
        <v>48</v>
      </c>
      <c r="D51" s="278">
        <f t="shared" si="4"/>
        <v>200</v>
      </c>
      <c r="E51" s="9">
        <f t="shared" si="5"/>
        <v>0.80988906295685736</v>
      </c>
      <c r="F51" s="9">
        <f t="shared" si="6"/>
        <v>0.85559396183387415</v>
      </c>
      <c r="G51" s="9">
        <f t="shared" si="7"/>
        <v>267.09456188221117</v>
      </c>
      <c r="H51" s="9">
        <f t="shared" si="8"/>
        <v>16.854256419309305</v>
      </c>
      <c r="N51"/>
      <c r="O51"/>
      <c r="P51"/>
      <c r="Q51"/>
      <c r="R51"/>
      <c r="S51"/>
      <c r="T51"/>
      <c r="U51"/>
      <c r="V51"/>
      <c r="W51"/>
      <c r="X51"/>
      <c r="Y51"/>
      <c r="Z51"/>
    </row>
    <row r="52" spans="1:29">
      <c r="A52" s="36">
        <f t="shared" si="3"/>
        <v>2020</v>
      </c>
      <c r="B52" s="36">
        <f t="shared" si="3"/>
        <v>0</v>
      </c>
      <c r="C52" s="36">
        <f t="shared" si="3"/>
        <v>12</v>
      </c>
      <c r="D52" s="278">
        <f t="shared" si="4"/>
        <v>4100</v>
      </c>
      <c r="E52" s="9">
        <f t="shared" si="5"/>
        <v>0</v>
      </c>
      <c r="F52" s="9">
        <f t="shared" si="6"/>
        <v>0.46789338050430396</v>
      </c>
      <c r="G52" s="9">
        <f t="shared" si="7"/>
        <v>4044.0769153893361</v>
      </c>
      <c r="H52" s="9">
        <f t="shared" si="8"/>
        <v>0.77332638765362982</v>
      </c>
      <c r="N52"/>
      <c r="O52"/>
      <c r="P52"/>
      <c r="Q52"/>
      <c r="R52"/>
      <c r="S52"/>
      <c r="T52"/>
      <c r="U52"/>
      <c r="V52"/>
      <c r="W52"/>
      <c r="X52"/>
      <c r="Y52"/>
      <c r="Z52"/>
    </row>
    <row r="53" spans="1:29">
      <c r="A53" s="36">
        <f t="shared" si="3"/>
        <v>2020</v>
      </c>
      <c r="B53" s="36">
        <f t="shared" si="3"/>
        <v>12</v>
      </c>
      <c r="C53" s="36">
        <f t="shared" si="3"/>
        <v>24</v>
      </c>
      <c r="D53" s="278">
        <f t="shared" si="4"/>
        <v>2000</v>
      </c>
      <c r="E53" s="9">
        <f t="shared" si="5"/>
        <v>0.46789338050430396</v>
      </c>
      <c r="F53" s="9">
        <f t="shared" si="6"/>
        <v>0.72080859742433112</v>
      </c>
      <c r="G53" s="9">
        <f t="shared" si="7"/>
        <v>2185.9864510042153</v>
      </c>
      <c r="H53" s="9">
        <f t="shared" si="8"/>
        <v>15.823958991718683</v>
      </c>
      <c r="N53"/>
      <c r="O53"/>
      <c r="P53"/>
      <c r="Q53"/>
      <c r="R53"/>
      <c r="S53"/>
      <c r="T53"/>
      <c r="U53"/>
      <c r="V53"/>
      <c r="W53"/>
      <c r="X53"/>
      <c r="Y53"/>
      <c r="Z53"/>
    </row>
    <row r="54" spans="1:29">
      <c r="A54" s="36">
        <f t="shared" si="3"/>
        <v>2020</v>
      </c>
      <c r="B54" s="36">
        <f t="shared" si="3"/>
        <v>24</v>
      </c>
      <c r="C54" s="36">
        <f t="shared" si="3"/>
        <v>36</v>
      </c>
      <c r="D54" s="278">
        <f t="shared" si="4"/>
        <v>900</v>
      </c>
      <c r="E54" s="9">
        <f t="shared" si="5"/>
        <v>0.72080859742433112</v>
      </c>
      <c r="F54" s="9">
        <f t="shared" si="6"/>
        <v>0.80988906295685736</v>
      </c>
      <c r="G54" s="9">
        <f t="shared" si="7"/>
        <v>769.93663360644837</v>
      </c>
      <c r="H54" s="9">
        <f t="shared" si="8"/>
        <v>21.971261710700837</v>
      </c>
      <c r="N54"/>
      <c r="O54"/>
      <c r="P54"/>
      <c r="Q54"/>
      <c r="R54"/>
      <c r="S54"/>
      <c r="T54"/>
      <c r="U54"/>
      <c r="V54"/>
      <c r="W54"/>
      <c r="X54"/>
      <c r="Y54"/>
      <c r="Z54"/>
    </row>
    <row r="55" spans="1:29">
      <c r="A55" s="36">
        <f t="shared" si="3"/>
        <v>2021</v>
      </c>
      <c r="B55" s="36">
        <f t="shared" si="3"/>
        <v>0</v>
      </c>
      <c r="C55" s="36">
        <f t="shared" si="3"/>
        <v>12</v>
      </c>
      <c r="D55" s="278">
        <f t="shared" si="4"/>
        <v>4600</v>
      </c>
      <c r="E55" s="9">
        <f t="shared" si="5"/>
        <v>0</v>
      </c>
      <c r="F55" s="9">
        <f t="shared" si="6"/>
        <v>0.46789338050430396</v>
      </c>
      <c r="G55" s="9">
        <f t="shared" si="7"/>
        <v>4414.035846406885</v>
      </c>
      <c r="H55" s="9">
        <f t="shared" si="8"/>
        <v>7.8347044801991528</v>
      </c>
      <c r="N55"/>
      <c r="O55"/>
      <c r="P55"/>
      <c r="Q55"/>
      <c r="R55"/>
      <c r="S55"/>
      <c r="T55"/>
      <c r="U55"/>
      <c r="V55"/>
      <c r="W55"/>
      <c r="X55"/>
      <c r="Y55"/>
      <c r="Z55"/>
    </row>
    <row r="56" spans="1:29">
      <c r="A56" s="36">
        <f t="shared" si="3"/>
        <v>2021</v>
      </c>
      <c r="B56" s="36">
        <f t="shared" si="3"/>
        <v>12</v>
      </c>
      <c r="C56" s="36">
        <f t="shared" si="3"/>
        <v>24</v>
      </c>
      <c r="D56" s="278">
        <f t="shared" si="4"/>
        <v>2200</v>
      </c>
      <c r="E56" s="9">
        <f t="shared" si="5"/>
        <v>0.46789338050430396</v>
      </c>
      <c r="F56" s="9">
        <f t="shared" si="6"/>
        <v>0.72080859742433112</v>
      </c>
      <c r="G56" s="9">
        <f t="shared" si="7"/>
        <v>2385.9641535931155</v>
      </c>
      <c r="H56" s="9">
        <f t="shared" si="8"/>
        <v>14.494210388502477</v>
      </c>
      <c r="N56"/>
      <c r="O56"/>
      <c r="P56"/>
      <c r="Q56"/>
      <c r="R56"/>
      <c r="S56"/>
      <c r="T56"/>
      <c r="U56"/>
      <c r="V56"/>
      <c r="W56"/>
      <c r="X56"/>
      <c r="Y56"/>
      <c r="Z56"/>
    </row>
    <row r="57" spans="1:29">
      <c r="A57" s="36">
        <f t="shared" si="3"/>
        <v>2022</v>
      </c>
      <c r="B57" s="36">
        <f t="shared" si="3"/>
        <v>0</v>
      </c>
      <c r="C57" s="36">
        <f t="shared" si="3"/>
        <v>12</v>
      </c>
      <c r="D57" s="278">
        <f t="shared" si="4"/>
        <v>5300</v>
      </c>
      <c r="E57" s="9">
        <f t="shared" si="5"/>
        <v>0</v>
      </c>
      <c r="F57" s="9">
        <f t="shared" si="6"/>
        <v>0.46789338050430396</v>
      </c>
      <c r="G57" s="9">
        <f t="shared" si="7"/>
        <v>5300</v>
      </c>
      <c r="H57" s="9">
        <f t="shared" si="8"/>
        <v>0</v>
      </c>
      <c r="N57"/>
      <c r="O57"/>
      <c r="P57"/>
      <c r="Q57"/>
      <c r="R57"/>
      <c r="S57"/>
      <c r="T57"/>
      <c r="U57"/>
      <c r="V57"/>
      <c r="W57"/>
      <c r="X57"/>
      <c r="Y57"/>
      <c r="Z57"/>
    </row>
    <row r="58" spans="1:29">
      <c r="N58"/>
      <c r="O58"/>
      <c r="P58"/>
      <c r="Q58"/>
      <c r="R58"/>
      <c r="S58"/>
      <c r="T58"/>
      <c r="U58"/>
      <c r="V58"/>
      <c r="W58"/>
      <c r="X58"/>
      <c r="Y58"/>
      <c r="Z58"/>
    </row>
    <row r="59" spans="1:29">
      <c r="B59" s="275" t="s">
        <v>296</v>
      </c>
      <c r="C59" s="275"/>
      <c r="N59"/>
      <c r="O59"/>
      <c r="P59"/>
      <c r="Q59"/>
      <c r="R59"/>
      <c r="S59"/>
      <c r="T59"/>
      <c r="U59"/>
      <c r="V59"/>
      <c r="W59"/>
      <c r="X59"/>
      <c r="Y59"/>
      <c r="Z59"/>
    </row>
    <row r="60" spans="1:29">
      <c r="B60" s="274">
        <f>SUM(H48:H57)/(COUNT(A48:A57)-COUNT(I33:I36)-COUNT(L28:L29))</f>
        <v>42.198021377130175</v>
      </c>
      <c r="N60"/>
      <c r="O60"/>
      <c r="P60"/>
      <c r="Q60"/>
      <c r="R60"/>
      <c r="S60"/>
      <c r="T60"/>
      <c r="U60"/>
      <c r="V60"/>
      <c r="W60"/>
      <c r="X60"/>
      <c r="Y60"/>
      <c r="Z60"/>
    </row>
    <row r="61" spans="1:29">
      <c r="N61"/>
      <c r="O61"/>
      <c r="P61"/>
      <c r="Q61"/>
      <c r="R61"/>
      <c r="S61"/>
      <c r="T61"/>
      <c r="U61"/>
      <c r="V61"/>
      <c r="W61"/>
      <c r="X61"/>
      <c r="Y61"/>
      <c r="Z61"/>
    </row>
    <row r="62" spans="1:29" ht="16.2">
      <c r="A62" s="3" t="s">
        <v>4</v>
      </c>
      <c r="B62" s="3" t="s">
        <v>102</v>
      </c>
      <c r="C62" s="5"/>
      <c r="D62" s="3"/>
      <c r="E62" s="3"/>
      <c r="F62" s="3"/>
      <c r="G62" s="3"/>
      <c r="H62" s="3"/>
      <c r="I62" s="2"/>
      <c r="J62" s="3"/>
      <c r="K62" s="3"/>
      <c r="L62" s="3"/>
      <c r="M62" s="3"/>
      <c r="N62"/>
      <c r="O62"/>
      <c r="P62"/>
      <c r="Q62"/>
      <c r="R62"/>
      <c r="S62"/>
      <c r="T62"/>
      <c r="U62"/>
      <c r="V62"/>
      <c r="W62"/>
      <c r="X62"/>
      <c r="Y62"/>
      <c r="Z62"/>
      <c r="AA62"/>
      <c r="AB62"/>
      <c r="AC62"/>
    </row>
    <row r="63" spans="1:29" ht="16.2">
      <c r="A63" s="5"/>
      <c r="B63" s="5" t="s">
        <v>64</v>
      </c>
      <c r="C63" s="5"/>
      <c r="D63" s="4"/>
      <c r="E63" s="4"/>
      <c r="F63" s="3"/>
      <c r="G63" s="3"/>
      <c r="H63" s="3"/>
      <c r="I63" s="2"/>
      <c r="J63" s="2"/>
      <c r="K63" s="2"/>
      <c r="L63" s="2"/>
      <c r="M63" s="2"/>
      <c r="N63"/>
      <c r="O63"/>
      <c r="P63"/>
      <c r="Q63"/>
      <c r="R63"/>
      <c r="S63"/>
      <c r="T63"/>
      <c r="U63"/>
      <c r="V63"/>
      <c r="W63"/>
      <c r="X63"/>
      <c r="Y63"/>
      <c r="Z63"/>
      <c r="AA63"/>
      <c r="AB63"/>
    </row>
    <row r="64" spans="1:29">
      <c r="N64"/>
      <c r="O64"/>
      <c r="P64"/>
      <c r="Q64"/>
      <c r="R64"/>
      <c r="S64"/>
      <c r="T64"/>
      <c r="U64"/>
      <c r="V64"/>
      <c r="W64"/>
      <c r="X64"/>
      <c r="Y64"/>
      <c r="Z64"/>
      <c r="AA64"/>
      <c r="AB64"/>
    </row>
    <row r="65" spans="1:28">
      <c r="B65" s="277" t="s">
        <v>47</v>
      </c>
      <c r="C65" s="277" t="s">
        <v>115</v>
      </c>
      <c r="D65" s="277" t="s">
        <v>295</v>
      </c>
      <c r="E65" s="277" t="s">
        <v>99</v>
      </c>
      <c r="N65"/>
      <c r="O65"/>
      <c r="P65"/>
      <c r="Q65"/>
      <c r="R65"/>
      <c r="S65"/>
      <c r="T65"/>
      <c r="U65"/>
      <c r="V65"/>
      <c r="W65"/>
      <c r="X65"/>
      <c r="Y65"/>
      <c r="Z65"/>
      <c r="AA65"/>
      <c r="AB65"/>
    </row>
    <row r="66" spans="1:28">
      <c r="B66" s="277">
        <v>2019</v>
      </c>
      <c r="C66" s="276">
        <f>I33</f>
        <v>5843.8935091162102</v>
      </c>
      <c r="D66" s="276">
        <f>VLOOKUP(B66,$A$33:$D$42,4)</f>
        <v>5000</v>
      </c>
      <c r="E66" s="276">
        <f>C66-D66</f>
        <v>843.89350911621023</v>
      </c>
      <c r="N66"/>
      <c r="O66"/>
      <c r="P66"/>
      <c r="Q66"/>
      <c r="R66"/>
      <c r="S66"/>
      <c r="T66"/>
      <c r="U66"/>
      <c r="V66"/>
      <c r="W66"/>
      <c r="X66"/>
      <c r="Y66"/>
      <c r="Z66"/>
      <c r="AA66"/>
      <c r="AB66"/>
    </row>
    <row r="67" spans="1:28">
      <c r="B67" s="277">
        <v>2020</v>
      </c>
      <c r="C67" s="276">
        <f>I34</f>
        <v>8643.1590697661868</v>
      </c>
      <c r="D67" s="276">
        <f>VLOOKUP(B67,$A$33:$D$42,4)</f>
        <v>7000</v>
      </c>
      <c r="E67" s="276">
        <f>C67-D67</f>
        <v>1643.1590697661868</v>
      </c>
      <c r="N67"/>
      <c r="O67"/>
      <c r="P67"/>
      <c r="Q67"/>
      <c r="R67"/>
      <c r="S67"/>
      <c r="T67"/>
      <c r="U67"/>
      <c r="V67"/>
      <c r="W67"/>
      <c r="X67"/>
      <c r="Y67"/>
      <c r="Z67"/>
      <c r="AA67"/>
      <c r="AB67"/>
    </row>
    <row r="68" spans="1:28">
      <c r="B68" s="277">
        <v>2021</v>
      </c>
      <c r="C68" s="276">
        <f>I35</f>
        <v>9433.8497408306084</v>
      </c>
      <c r="D68" s="276">
        <f>VLOOKUP(B68,$A$33:$D$42,4)</f>
        <v>6800</v>
      </c>
      <c r="E68" s="276">
        <f>C68-D68</f>
        <v>2633.8497408306084</v>
      </c>
      <c r="N68"/>
      <c r="O68"/>
      <c r="P68"/>
      <c r="Q68"/>
      <c r="R68"/>
      <c r="S68"/>
      <c r="T68"/>
      <c r="U68"/>
      <c r="V68"/>
      <c r="W68"/>
      <c r="X68"/>
      <c r="Y68"/>
      <c r="Z68"/>
      <c r="AA68"/>
      <c r="AB68"/>
    </row>
    <row r="69" spans="1:28">
      <c r="B69" s="277">
        <v>2022</v>
      </c>
      <c r="C69" s="276">
        <f>I36</f>
        <v>11327.366919120685</v>
      </c>
      <c r="D69" s="276">
        <f>VLOOKUP(B69,$A$33:$D$42,4)</f>
        <v>5300</v>
      </c>
      <c r="E69" s="276">
        <f>C69-D69</f>
        <v>6027.3669191206845</v>
      </c>
      <c r="N69"/>
      <c r="O69"/>
      <c r="P69"/>
      <c r="Q69"/>
      <c r="R69"/>
      <c r="S69"/>
      <c r="T69"/>
      <c r="U69"/>
      <c r="V69"/>
      <c r="W69"/>
      <c r="X69"/>
      <c r="Y69"/>
      <c r="Z69"/>
      <c r="AA69"/>
      <c r="AB69"/>
    </row>
    <row r="70" spans="1:28">
      <c r="B70" s="277" t="s">
        <v>72</v>
      </c>
      <c r="C70" s="276">
        <f>SUM(C66:C69)</f>
        <v>35248.269238833695</v>
      </c>
      <c r="D70" s="276">
        <f>SUM(D66:D69)</f>
        <v>24100</v>
      </c>
      <c r="E70" s="276">
        <f>SUM(E66:E69)</f>
        <v>11148.269238833691</v>
      </c>
      <c r="N70"/>
      <c r="O70"/>
      <c r="P70"/>
      <c r="Q70"/>
      <c r="R70"/>
      <c r="S70"/>
      <c r="T70"/>
      <c r="U70"/>
      <c r="V70"/>
      <c r="W70"/>
      <c r="X70"/>
      <c r="Y70"/>
      <c r="Z70"/>
      <c r="AA70"/>
      <c r="AB70"/>
    </row>
    <row r="71" spans="1:28">
      <c r="B71" s="277"/>
      <c r="C71" s="276"/>
      <c r="D71" s="276"/>
      <c r="E71" s="276"/>
      <c r="N71"/>
      <c r="O71"/>
      <c r="P71"/>
      <c r="Q71"/>
      <c r="R71"/>
      <c r="S71"/>
      <c r="T71"/>
      <c r="U71"/>
      <c r="V71"/>
      <c r="W71"/>
      <c r="X71"/>
      <c r="Y71"/>
      <c r="Z71"/>
      <c r="AA71"/>
      <c r="AB71"/>
    </row>
    <row r="72" spans="1:28">
      <c r="C72" s="275" t="s">
        <v>294</v>
      </c>
      <c r="D72" s="275"/>
      <c r="E72" s="275"/>
      <c r="F72" s="274">
        <f>SQRT(B60*SUM(E66:E69))</f>
        <v>685.88257279093102</v>
      </c>
      <c r="N72"/>
      <c r="O72"/>
      <c r="P72"/>
      <c r="Q72"/>
      <c r="R72"/>
      <c r="S72"/>
      <c r="T72"/>
      <c r="U72"/>
      <c r="V72"/>
      <c r="W72"/>
      <c r="X72"/>
      <c r="Y72"/>
      <c r="Z72"/>
      <c r="AA72"/>
      <c r="AB72"/>
    </row>
    <row r="73" spans="1:28">
      <c r="N73"/>
      <c r="O73"/>
      <c r="P73"/>
      <c r="Q73"/>
      <c r="R73"/>
      <c r="S73"/>
      <c r="T73"/>
      <c r="U73"/>
      <c r="V73"/>
      <c r="W73"/>
      <c r="X73"/>
      <c r="Y73"/>
      <c r="Z73"/>
      <c r="AA73"/>
      <c r="AB73"/>
    </row>
    <row r="74" spans="1:28" ht="31.2" customHeight="1">
      <c r="A74" s="1670" t="s">
        <v>293</v>
      </c>
      <c r="B74" s="1670"/>
      <c r="C74" s="1670"/>
      <c r="D74" s="1670"/>
      <c r="E74" s="1670"/>
      <c r="F74" s="1670"/>
      <c r="G74" s="1670"/>
      <c r="H74" s="1670"/>
      <c r="I74" s="1670"/>
      <c r="J74" s="1670"/>
      <c r="K74" s="1670"/>
      <c r="L74" s="1670"/>
      <c r="M74" s="1670"/>
      <c r="N74"/>
      <c r="O74"/>
      <c r="P74"/>
      <c r="Q74"/>
      <c r="R74"/>
      <c r="S74"/>
      <c r="T74"/>
      <c r="U74"/>
      <c r="V74"/>
      <c r="W74"/>
      <c r="X74"/>
      <c r="Y74"/>
      <c r="Z74"/>
      <c r="AA74"/>
      <c r="AB74"/>
    </row>
    <row r="75" spans="1:28">
      <c r="A75" s="44"/>
      <c r="B75" s="44"/>
      <c r="C75" s="44"/>
      <c r="D75" s="44"/>
      <c r="E75" s="44"/>
      <c r="F75" s="44"/>
      <c r="G75" s="44"/>
      <c r="H75" s="44"/>
      <c r="I75" s="44"/>
      <c r="J75" s="44"/>
      <c r="K75" s="44"/>
      <c r="L75" s="44"/>
      <c r="M75" s="44"/>
      <c r="N75"/>
      <c r="O75"/>
      <c r="P75"/>
      <c r="Q75"/>
      <c r="R75"/>
      <c r="S75"/>
      <c r="T75"/>
      <c r="U75"/>
      <c r="V75"/>
      <c r="W75"/>
      <c r="X75"/>
      <c r="Y75"/>
      <c r="Z75"/>
      <c r="AA75"/>
      <c r="AB75"/>
    </row>
    <row r="76" spans="1:28" ht="16.2">
      <c r="A76" s="3" t="s">
        <v>48</v>
      </c>
      <c r="B76" s="3" t="s">
        <v>292</v>
      </c>
      <c r="C76" s="5"/>
      <c r="D76" s="3"/>
      <c r="E76" s="4"/>
      <c r="F76" s="3"/>
      <c r="G76" s="3"/>
      <c r="H76" s="2"/>
      <c r="I76" s="44"/>
      <c r="J76" s="2"/>
      <c r="K76" s="2"/>
      <c r="L76" s="2"/>
      <c r="M76" s="2"/>
      <c r="N76"/>
      <c r="O76"/>
      <c r="P76"/>
      <c r="Q76"/>
      <c r="R76"/>
      <c r="S76"/>
      <c r="T76"/>
      <c r="U76"/>
      <c r="V76"/>
      <c r="W76"/>
      <c r="X76"/>
      <c r="Y76"/>
      <c r="Z76"/>
      <c r="AA76"/>
      <c r="AB76"/>
    </row>
    <row r="77" spans="1:28" ht="16.2">
      <c r="A77" s="5"/>
      <c r="B77" s="5" t="s">
        <v>64</v>
      </c>
      <c r="C77" s="5"/>
      <c r="D77" s="4"/>
      <c r="E77" s="4"/>
      <c r="F77" s="3"/>
      <c r="G77" s="3"/>
      <c r="H77" s="2"/>
      <c r="I77" s="44"/>
      <c r="J77" s="2"/>
      <c r="K77" s="2"/>
      <c r="L77" s="2"/>
      <c r="M77" s="2"/>
      <c r="N77"/>
      <c r="O77"/>
      <c r="P77"/>
      <c r="Q77"/>
      <c r="R77"/>
      <c r="S77"/>
      <c r="T77"/>
      <c r="U77"/>
      <c r="V77"/>
      <c r="W77"/>
      <c r="X77"/>
      <c r="Y77"/>
      <c r="Z77"/>
      <c r="AA77"/>
      <c r="AB77"/>
    </row>
    <row r="78" spans="1:28">
      <c r="B78" s="1685" t="s">
        <v>291</v>
      </c>
      <c r="C78" s="1685"/>
      <c r="D78" s="1685"/>
      <c r="E78" s="1685"/>
      <c r="F78" s="1685"/>
      <c r="G78" s="1685"/>
      <c r="H78" s="1685"/>
      <c r="I78" s="1685"/>
      <c r="J78" s="1685"/>
      <c r="K78" s="1685"/>
      <c r="L78" s="1685"/>
      <c r="M78" s="1685"/>
      <c r="N78"/>
      <c r="O78"/>
      <c r="P78"/>
      <c r="Q78"/>
      <c r="R78"/>
      <c r="S78"/>
      <c r="T78"/>
      <c r="U78"/>
      <c r="V78"/>
      <c r="W78"/>
      <c r="X78"/>
      <c r="Y78"/>
      <c r="Z78"/>
      <c r="AA78"/>
      <c r="AB78"/>
    </row>
    <row r="79" spans="1:28">
      <c r="B79" s="1685"/>
      <c r="C79" s="1685"/>
      <c r="D79" s="1685"/>
      <c r="E79" s="1685"/>
      <c r="F79" s="1685"/>
      <c r="G79" s="1685"/>
      <c r="H79" s="1685"/>
      <c r="I79" s="1685"/>
      <c r="J79" s="1685"/>
      <c r="K79" s="1685"/>
      <c r="L79" s="1685"/>
      <c r="M79" s="1685"/>
      <c r="N79"/>
      <c r="O79"/>
      <c r="P79"/>
      <c r="Q79"/>
      <c r="R79"/>
      <c r="S79"/>
      <c r="T79"/>
      <c r="U79"/>
      <c r="V79"/>
      <c r="W79"/>
      <c r="X79"/>
      <c r="Y79"/>
      <c r="Z79"/>
      <c r="AA79"/>
      <c r="AB79"/>
    </row>
    <row r="80" spans="1:28">
      <c r="B80" s="1685"/>
      <c r="C80" s="1685"/>
      <c r="D80" s="1685"/>
      <c r="E80" s="1685"/>
      <c r="F80" s="1685"/>
      <c r="G80" s="1685"/>
      <c r="H80" s="1685"/>
      <c r="I80" s="1685"/>
      <c r="J80" s="1685"/>
      <c r="K80" s="1685"/>
      <c r="L80" s="1685"/>
      <c r="M80" s="1685"/>
      <c r="N80"/>
      <c r="O80"/>
      <c r="P80"/>
      <c r="Q80"/>
      <c r="R80"/>
      <c r="S80"/>
      <c r="T80"/>
      <c r="U80"/>
      <c r="V80"/>
      <c r="W80"/>
      <c r="X80"/>
      <c r="Y80"/>
      <c r="Z80"/>
      <c r="AA80"/>
      <c r="AB80"/>
    </row>
    <row r="81" spans="14:29">
      <c r="N81"/>
      <c r="O81"/>
      <c r="P81"/>
      <c r="Q81"/>
      <c r="R81"/>
      <c r="S81"/>
      <c r="T81"/>
      <c r="U81"/>
      <c r="V81"/>
      <c r="W81"/>
      <c r="X81"/>
      <c r="Y81"/>
      <c r="Z81"/>
      <c r="AA81"/>
      <c r="AB81"/>
    </row>
    <row r="82" spans="14:29">
      <c r="N82"/>
      <c r="O82"/>
      <c r="P82"/>
      <c r="Q82"/>
      <c r="R82"/>
      <c r="S82"/>
      <c r="T82"/>
      <c r="U82"/>
      <c r="V82"/>
      <c r="W82"/>
      <c r="X82"/>
      <c r="Y82"/>
      <c r="Z82"/>
      <c r="AA82"/>
      <c r="AB82"/>
    </row>
    <row r="83" spans="14:29">
      <c r="N83"/>
      <c r="O83"/>
      <c r="P83"/>
      <c r="Q83"/>
      <c r="R83"/>
      <c r="S83"/>
      <c r="T83"/>
      <c r="U83"/>
      <c r="V83"/>
      <c r="W83"/>
      <c r="X83"/>
      <c r="Y83"/>
      <c r="Z83"/>
      <c r="AA83"/>
      <c r="AB83"/>
    </row>
    <row r="84" spans="14:29">
      <c r="N84"/>
      <c r="O84"/>
      <c r="P84"/>
      <c r="Q84"/>
      <c r="R84"/>
      <c r="S84"/>
      <c r="T84"/>
      <c r="U84"/>
      <c r="V84"/>
      <c r="W84"/>
      <c r="X84"/>
      <c r="Y84"/>
      <c r="Z84"/>
      <c r="AA84"/>
      <c r="AB84"/>
    </row>
    <row r="85" spans="14:29">
      <c r="N85"/>
      <c r="O85"/>
      <c r="P85"/>
      <c r="Q85"/>
      <c r="R85"/>
      <c r="S85"/>
      <c r="T85"/>
      <c r="U85"/>
      <c r="V85"/>
      <c r="W85"/>
      <c r="X85"/>
      <c r="Y85"/>
      <c r="Z85"/>
      <c r="AA85"/>
      <c r="AB85"/>
      <c r="AC85" s="57"/>
    </row>
    <row r="86" spans="14:29">
      <c r="N86"/>
      <c r="O86"/>
      <c r="P86"/>
      <c r="Q86"/>
      <c r="R86"/>
      <c r="S86"/>
      <c r="T86"/>
      <c r="U86"/>
      <c r="V86"/>
      <c r="W86"/>
      <c r="X86"/>
      <c r="Y86"/>
      <c r="Z86"/>
      <c r="AA86"/>
      <c r="AB86"/>
      <c r="AC86" s="57"/>
    </row>
    <row r="87" spans="14:29">
      <c r="N87"/>
      <c r="O87"/>
      <c r="P87"/>
      <c r="Q87"/>
      <c r="R87"/>
      <c r="S87"/>
      <c r="T87"/>
      <c r="U87"/>
      <c r="V87"/>
      <c r="W87"/>
      <c r="X87"/>
      <c r="Y87"/>
      <c r="Z87"/>
      <c r="AA87"/>
      <c r="AB87"/>
      <c r="AC87" s="57"/>
    </row>
    <row r="88" spans="14:29">
      <c r="N88"/>
      <c r="O88"/>
      <c r="P88"/>
      <c r="Q88"/>
      <c r="R88"/>
      <c r="S88"/>
      <c r="T88"/>
      <c r="U88"/>
      <c r="V88"/>
      <c r="W88"/>
      <c r="X88"/>
      <c r="Y88"/>
      <c r="Z88"/>
      <c r="AA88"/>
      <c r="AB88"/>
    </row>
    <row r="89" spans="14:29">
      <c r="N89"/>
      <c r="O89"/>
      <c r="P89"/>
      <c r="Q89"/>
      <c r="R89"/>
      <c r="S89"/>
      <c r="T89"/>
      <c r="U89"/>
      <c r="V89"/>
      <c r="W89"/>
      <c r="X89"/>
      <c r="Y89"/>
      <c r="Z89"/>
      <c r="AA89"/>
      <c r="AB89"/>
    </row>
    <row r="90" spans="14:29">
      <c r="N90"/>
      <c r="O90"/>
      <c r="P90"/>
      <c r="Q90"/>
      <c r="R90"/>
      <c r="S90"/>
      <c r="T90"/>
      <c r="U90"/>
      <c r="V90"/>
      <c r="W90"/>
      <c r="X90"/>
      <c r="Y90"/>
      <c r="Z90"/>
    </row>
    <row r="91" spans="14:29">
      <c r="N91"/>
      <c r="O91"/>
      <c r="P91"/>
      <c r="Q91"/>
      <c r="R91"/>
      <c r="S91"/>
      <c r="T91"/>
      <c r="U91"/>
      <c r="V91"/>
      <c r="W91"/>
      <c r="X91"/>
      <c r="Y91"/>
      <c r="Z91"/>
    </row>
    <row r="92" spans="14:29">
      <c r="N92"/>
      <c r="O92"/>
      <c r="P92"/>
      <c r="Q92"/>
      <c r="R92"/>
      <c r="S92"/>
      <c r="T92"/>
      <c r="U92"/>
      <c r="V92"/>
      <c r="W92"/>
      <c r="X92"/>
      <c r="Y92"/>
      <c r="Z92"/>
    </row>
    <row r="93" spans="14:29">
      <c r="N93"/>
      <c r="O93"/>
      <c r="P93"/>
      <c r="Q93"/>
      <c r="R93"/>
      <c r="S93"/>
      <c r="T93"/>
      <c r="U93"/>
      <c r="V93"/>
      <c r="W93"/>
      <c r="X93"/>
      <c r="Y93"/>
      <c r="Z93"/>
    </row>
    <row r="94" spans="14:29">
      <c r="N94"/>
      <c r="O94"/>
      <c r="P94"/>
      <c r="Q94"/>
      <c r="R94"/>
      <c r="S94"/>
      <c r="T94"/>
      <c r="U94"/>
      <c r="V94"/>
      <c r="W94"/>
      <c r="X94"/>
      <c r="Y94"/>
      <c r="Z94"/>
    </row>
    <row r="95" spans="14:29">
      <c r="N95"/>
      <c r="O95"/>
      <c r="P95"/>
      <c r="Q95"/>
      <c r="R95"/>
      <c r="S95"/>
      <c r="T95"/>
      <c r="U95"/>
      <c r="V95"/>
      <c r="W95"/>
      <c r="X95"/>
      <c r="Y95"/>
      <c r="Z95"/>
    </row>
    <row r="96" spans="14:29">
      <c r="N96"/>
      <c r="O96"/>
      <c r="P96"/>
      <c r="Q96"/>
      <c r="R96"/>
      <c r="S96"/>
      <c r="T96"/>
      <c r="U96"/>
      <c r="V96"/>
      <c r="W96"/>
      <c r="X96"/>
      <c r="Y96"/>
      <c r="Z96"/>
    </row>
    <row r="97" spans="14:26">
      <c r="N97"/>
      <c r="O97"/>
      <c r="P97"/>
      <c r="Q97"/>
      <c r="R97"/>
      <c r="S97"/>
      <c r="T97"/>
      <c r="U97"/>
      <c r="V97"/>
      <c r="W97"/>
      <c r="X97"/>
      <c r="Y97"/>
      <c r="Z97"/>
    </row>
    <row r="98" spans="14:26">
      <c r="N98"/>
      <c r="O98"/>
      <c r="P98"/>
      <c r="Q98"/>
      <c r="R98"/>
      <c r="S98"/>
      <c r="T98"/>
      <c r="U98"/>
      <c r="V98"/>
      <c r="W98"/>
      <c r="X98"/>
      <c r="Y98"/>
      <c r="Z98"/>
    </row>
    <row r="99" spans="14:26">
      <c r="N99"/>
      <c r="O99"/>
      <c r="P99"/>
      <c r="Q99"/>
      <c r="R99"/>
      <c r="S99"/>
      <c r="T99"/>
      <c r="U99"/>
      <c r="V99"/>
      <c r="W99"/>
      <c r="X99"/>
      <c r="Y99"/>
      <c r="Z99"/>
    </row>
    <row r="100" spans="14:26">
      <c r="N100"/>
      <c r="O100"/>
      <c r="P100"/>
      <c r="Q100"/>
      <c r="R100"/>
      <c r="S100"/>
      <c r="T100"/>
      <c r="U100"/>
      <c r="V100"/>
      <c r="W100"/>
      <c r="X100"/>
      <c r="Y100"/>
      <c r="Z100"/>
    </row>
    <row r="101" spans="14:26">
      <c r="N101"/>
      <c r="O101"/>
      <c r="P101"/>
      <c r="Q101"/>
      <c r="R101"/>
      <c r="S101"/>
      <c r="T101"/>
      <c r="U101"/>
      <c r="V101"/>
      <c r="W101"/>
      <c r="X101"/>
      <c r="Y101"/>
      <c r="Z101"/>
    </row>
    <row r="102" spans="14:26">
      <c r="N102"/>
      <c r="O102"/>
      <c r="P102"/>
      <c r="Q102"/>
      <c r="R102"/>
      <c r="S102"/>
      <c r="T102"/>
      <c r="U102"/>
      <c r="V102"/>
      <c r="W102"/>
      <c r="X102"/>
      <c r="Y102"/>
      <c r="Z102"/>
    </row>
    <row r="103" spans="14:26">
      <c r="N103"/>
      <c r="O103"/>
      <c r="P103"/>
      <c r="Q103"/>
      <c r="R103"/>
      <c r="S103"/>
      <c r="T103"/>
      <c r="U103"/>
      <c r="V103"/>
      <c r="W103"/>
      <c r="X103"/>
      <c r="Y103"/>
      <c r="Z103"/>
    </row>
    <row r="104" spans="14:26">
      <c r="N104"/>
      <c r="O104"/>
      <c r="P104"/>
      <c r="Q104"/>
      <c r="R104"/>
      <c r="S104"/>
      <c r="T104"/>
      <c r="U104"/>
      <c r="V104"/>
      <c r="W104"/>
      <c r="X104"/>
      <c r="Y104"/>
      <c r="Z104"/>
    </row>
    <row r="105" spans="14:26">
      <c r="N105"/>
      <c r="O105"/>
      <c r="P105"/>
      <c r="Q105"/>
      <c r="R105"/>
      <c r="S105"/>
      <c r="T105"/>
      <c r="U105"/>
      <c r="V105"/>
      <c r="W105"/>
      <c r="X105"/>
      <c r="Y105"/>
      <c r="Z105"/>
    </row>
    <row r="106" spans="14:26">
      <c r="N106"/>
      <c r="O106"/>
      <c r="P106"/>
      <c r="Q106"/>
      <c r="R106"/>
      <c r="S106"/>
      <c r="T106"/>
      <c r="U106"/>
      <c r="V106"/>
      <c r="W106"/>
      <c r="X106"/>
      <c r="Y106"/>
      <c r="Z106"/>
    </row>
    <row r="107" spans="14:26">
      <c r="N107"/>
      <c r="O107"/>
      <c r="P107"/>
      <c r="Q107"/>
      <c r="R107"/>
      <c r="S107"/>
      <c r="T107"/>
      <c r="U107"/>
      <c r="V107"/>
      <c r="W107"/>
      <c r="X107"/>
      <c r="Y107"/>
      <c r="Z107"/>
    </row>
    <row r="108" spans="14:26">
      <c r="N108"/>
      <c r="O108"/>
      <c r="P108"/>
      <c r="Q108"/>
      <c r="R108"/>
      <c r="S108"/>
      <c r="T108"/>
      <c r="U108"/>
      <c r="V108"/>
      <c r="W108"/>
      <c r="X108"/>
      <c r="Y108"/>
      <c r="Z108"/>
    </row>
    <row r="109" spans="14:26">
      <c r="N109"/>
      <c r="O109"/>
      <c r="P109"/>
      <c r="Q109"/>
      <c r="R109"/>
      <c r="S109"/>
      <c r="T109"/>
      <c r="U109"/>
      <c r="V109"/>
      <c r="W109"/>
      <c r="X109"/>
      <c r="Y109"/>
      <c r="Z109"/>
    </row>
    <row r="110" spans="14:26">
      <c r="N110"/>
      <c r="O110"/>
      <c r="P110"/>
      <c r="Q110"/>
      <c r="R110"/>
      <c r="S110"/>
      <c r="T110"/>
      <c r="U110"/>
      <c r="V110"/>
      <c r="W110"/>
      <c r="X110"/>
      <c r="Y110"/>
      <c r="Z110"/>
    </row>
    <row r="111" spans="14:26">
      <c r="N111"/>
      <c r="O111"/>
      <c r="P111"/>
      <c r="Q111"/>
      <c r="R111"/>
      <c r="S111"/>
      <c r="T111"/>
      <c r="U111"/>
      <c r="V111"/>
      <c r="W111"/>
      <c r="X111"/>
      <c r="Y111"/>
      <c r="Z111"/>
    </row>
    <row r="112" spans="14:26">
      <c r="N112"/>
      <c r="O112"/>
      <c r="P112"/>
      <c r="Q112"/>
      <c r="R112"/>
      <c r="S112"/>
      <c r="T112"/>
      <c r="U112"/>
      <c r="V112"/>
      <c r="W112"/>
      <c r="X112"/>
      <c r="Y112"/>
      <c r="Z112"/>
    </row>
    <row r="113" spans="14:26">
      <c r="N113"/>
      <c r="O113"/>
      <c r="P113"/>
      <c r="Q113"/>
      <c r="R113"/>
      <c r="S113"/>
      <c r="T113"/>
      <c r="U113"/>
      <c r="V113"/>
      <c r="W113"/>
      <c r="X113"/>
      <c r="Y113"/>
      <c r="Z113"/>
    </row>
    <row r="114" spans="14:26">
      <c r="N114"/>
      <c r="O114"/>
      <c r="P114"/>
      <c r="Q114"/>
      <c r="R114"/>
      <c r="S114"/>
      <c r="T114"/>
      <c r="U114"/>
      <c r="V114"/>
      <c r="W114"/>
      <c r="X114"/>
      <c r="Y114"/>
      <c r="Z114"/>
    </row>
    <row r="115" spans="14:26">
      <c r="N115"/>
      <c r="O115"/>
      <c r="P115"/>
      <c r="Q115"/>
      <c r="R115"/>
      <c r="S115"/>
      <c r="T115"/>
      <c r="U115"/>
      <c r="V115"/>
      <c r="W115"/>
      <c r="X115"/>
      <c r="Y115"/>
      <c r="Z115"/>
    </row>
    <row r="116" spans="14:26">
      <c r="N116"/>
      <c r="O116"/>
      <c r="P116"/>
      <c r="Q116"/>
      <c r="R116"/>
      <c r="S116"/>
      <c r="T116"/>
      <c r="U116"/>
      <c r="V116"/>
      <c r="W116"/>
      <c r="X116"/>
      <c r="Y116"/>
      <c r="Z116"/>
    </row>
    <row r="117" spans="14:26">
      <c r="N117"/>
      <c r="O117"/>
      <c r="P117"/>
      <c r="Q117"/>
      <c r="R117"/>
      <c r="S117"/>
      <c r="T117"/>
      <c r="U117"/>
      <c r="V117"/>
      <c r="W117"/>
      <c r="X117"/>
      <c r="Y117"/>
      <c r="Z117"/>
    </row>
    <row r="118" spans="14:26">
      <c r="N118"/>
      <c r="O118"/>
      <c r="P118"/>
      <c r="Q118"/>
      <c r="R118"/>
      <c r="S118"/>
      <c r="T118"/>
      <c r="U118"/>
      <c r="V118"/>
      <c r="W118"/>
      <c r="X118"/>
      <c r="Y118"/>
      <c r="Z118"/>
    </row>
    <row r="119" spans="14:26">
      <c r="N119"/>
      <c r="O119"/>
      <c r="P119"/>
      <c r="Q119"/>
      <c r="R119"/>
      <c r="S119"/>
      <c r="T119"/>
      <c r="U119"/>
      <c r="V119"/>
      <c r="W119"/>
      <c r="X119"/>
      <c r="Y119"/>
      <c r="Z119"/>
    </row>
    <row r="120" spans="14:26">
      <c r="N120"/>
      <c r="O120"/>
      <c r="P120"/>
      <c r="Q120"/>
      <c r="R120"/>
      <c r="S120"/>
      <c r="T120"/>
      <c r="U120"/>
      <c r="V120"/>
      <c r="W120"/>
      <c r="X120"/>
      <c r="Y120"/>
      <c r="Z120"/>
    </row>
    <row r="121" spans="14:26">
      <c r="N121"/>
      <c r="O121"/>
      <c r="P121"/>
      <c r="Q121"/>
      <c r="R121"/>
      <c r="S121"/>
      <c r="T121"/>
      <c r="U121"/>
      <c r="V121"/>
      <c r="W121"/>
      <c r="X121"/>
      <c r="Y121"/>
      <c r="Z121"/>
    </row>
    <row r="122" spans="14:26">
      <c r="N122"/>
      <c r="O122"/>
      <c r="P122"/>
      <c r="Q122"/>
      <c r="R122"/>
      <c r="S122"/>
      <c r="T122"/>
      <c r="U122"/>
      <c r="V122"/>
      <c r="W122"/>
      <c r="X122"/>
      <c r="Y122"/>
      <c r="Z122"/>
    </row>
    <row r="123" spans="14:26">
      <c r="N123"/>
      <c r="O123"/>
      <c r="P123"/>
      <c r="Q123"/>
      <c r="R123"/>
      <c r="S123"/>
      <c r="T123"/>
      <c r="U123"/>
      <c r="V123"/>
      <c r="W123"/>
      <c r="X123"/>
      <c r="Y123"/>
      <c r="Z123"/>
    </row>
    <row r="124" spans="14:26">
      <c r="N124"/>
      <c r="O124"/>
      <c r="P124"/>
      <c r="Q124"/>
      <c r="R124"/>
      <c r="S124"/>
      <c r="T124"/>
      <c r="U124"/>
      <c r="V124"/>
      <c r="W124"/>
      <c r="X124"/>
      <c r="Y124"/>
      <c r="Z124"/>
    </row>
    <row r="125" spans="14:26">
      <c r="N125"/>
      <c r="O125"/>
      <c r="P125"/>
      <c r="Q125"/>
      <c r="R125"/>
      <c r="S125"/>
      <c r="T125"/>
      <c r="U125"/>
      <c r="V125"/>
      <c r="W125"/>
      <c r="X125"/>
      <c r="Y125"/>
      <c r="Z125"/>
    </row>
    <row r="126" spans="14:26">
      <c r="N126"/>
      <c r="O126"/>
      <c r="P126"/>
      <c r="Q126"/>
      <c r="R126"/>
      <c r="S126"/>
      <c r="T126"/>
      <c r="U126"/>
      <c r="V126"/>
      <c r="W126"/>
      <c r="X126"/>
      <c r="Y126"/>
      <c r="Z126"/>
    </row>
    <row r="127" spans="14:26">
      <c r="N127"/>
      <c r="O127"/>
      <c r="P127"/>
      <c r="Q127"/>
      <c r="R127"/>
      <c r="S127"/>
      <c r="T127"/>
      <c r="U127"/>
      <c r="V127"/>
      <c r="W127"/>
      <c r="X127"/>
      <c r="Y127"/>
      <c r="Z127"/>
    </row>
    <row r="128" spans="14:26">
      <c r="N128"/>
      <c r="O128"/>
      <c r="P128"/>
      <c r="Q128"/>
      <c r="R128"/>
      <c r="S128"/>
      <c r="T128"/>
      <c r="U128"/>
      <c r="V128"/>
      <c r="W128"/>
      <c r="X128"/>
      <c r="Y128"/>
      <c r="Z128"/>
    </row>
    <row r="129" spans="13:26">
      <c r="N129"/>
      <c r="O129"/>
      <c r="P129"/>
      <c r="Q129"/>
      <c r="R129"/>
      <c r="S129"/>
      <c r="T129"/>
      <c r="U129"/>
      <c r="V129"/>
      <c r="W129"/>
      <c r="X129"/>
      <c r="Y129"/>
      <c r="Z129"/>
    </row>
    <row r="130" spans="13:26">
      <c r="M130"/>
      <c r="N130"/>
      <c r="O130"/>
      <c r="P130"/>
      <c r="Q130"/>
      <c r="R130"/>
      <c r="S130"/>
      <c r="T130"/>
      <c r="U130"/>
      <c r="V130"/>
      <c r="W130"/>
      <c r="X130"/>
      <c r="Y130"/>
      <c r="Z130"/>
    </row>
    <row r="131" spans="13:26">
      <c r="M131"/>
      <c r="N131"/>
      <c r="O131"/>
      <c r="P131"/>
      <c r="Q131"/>
      <c r="R131"/>
      <c r="S131"/>
      <c r="T131"/>
      <c r="U131"/>
      <c r="V131"/>
      <c r="W131"/>
      <c r="X131"/>
      <c r="Y131"/>
      <c r="Z131"/>
    </row>
    <row r="132" spans="13:26">
      <c r="M132"/>
      <c r="N132"/>
      <c r="O132"/>
      <c r="P132"/>
      <c r="Q132"/>
      <c r="R132"/>
      <c r="S132"/>
      <c r="T132"/>
      <c r="U132"/>
      <c r="V132"/>
      <c r="W132"/>
      <c r="X132"/>
      <c r="Y132"/>
      <c r="Z132"/>
    </row>
    <row r="133" spans="13:26">
      <c r="M133"/>
      <c r="N133"/>
      <c r="O133"/>
      <c r="P133"/>
      <c r="Q133"/>
      <c r="R133"/>
      <c r="S133"/>
      <c r="T133"/>
      <c r="U133"/>
      <c r="V133"/>
      <c r="W133"/>
      <c r="X133"/>
      <c r="Y133"/>
      <c r="Z133"/>
    </row>
    <row r="134" spans="13:26">
      <c r="M134"/>
      <c r="N134"/>
      <c r="O134"/>
      <c r="P134"/>
      <c r="Q134"/>
      <c r="R134"/>
      <c r="S134"/>
      <c r="T134"/>
      <c r="U134"/>
      <c r="V134"/>
      <c r="W134"/>
      <c r="X134"/>
      <c r="Y134"/>
      <c r="Z134"/>
    </row>
    <row r="135" spans="13:26">
      <c r="M135"/>
      <c r="N135"/>
      <c r="O135"/>
      <c r="P135"/>
      <c r="Q135"/>
      <c r="R135"/>
      <c r="S135"/>
      <c r="T135"/>
      <c r="U135"/>
      <c r="V135"/>
      <c r="W135"/>
      <c r="X135"/>
      <c r="Y135"/>
      <c r="Z135"/>
    </row>
    <row r="136" spans="13:26">
      <c r="M136"/>
      <c r="N136"/>
      <c r="O136"/>
      <c r="P136"/>
      <c r="Q136"/>
      <c r="R136"/>
      <c r="S136"/>
      <c r="T136"/>
      <c r="U136"/>
      <c r="V136"/>
      <c r="W136"/>
      <c r="X136"/>
      <c r="Y136"/>
      <c r="Z136"/>
    </row>
    <row r="137" spans="13:26">
      <c r="M137"/>
      <c r="N137"/>
      <c r="O137"/>
      <c r="P137"/>
      <c r="Q137"/>
      <c r="R137"/>
      <c r="S137"/>
      <c r="T137"/>
      <c r="U137"/>
      <c r="V137"/>
      <c r="W137"/>
      <c r="X137"/>
      <c r="Y137"/>
      <c r="Z137"/>
    </row>
    <row r="138" spans="13:26">
      <c r="M138"/>
      <c r="N138"/>
      <c r="O138"/>
      <c r="P138"/>
      <c r="Q138"/>
      <c r="R138"/>
      <c r="S138"/>
      <c r="T138"/>
      <c r="U138"/>
      <c r="V138"/>
      <c r="W138"/>
      <c r="X138"/>
      <c r="Y138"/>
      <c r="Z138"/>
    </row>
    <row r="139" spans="13:26">
      <c r="M139"/>
      <c r="N139"/>
      <c r="O139"/>
      <c r="P139"/>
      <c r="Q139"/>
      <c r="R139"/>
      <c r="S139"/>
      <c r="T139"/>
      <c r="U139"/>
      <c r="V139"/>
      <c r="W139"/>
      <c r="X139"/>
      <c r="Y139"/>
      <c r="Z139"/>
    </row>
    <row r="140" spans="13:26">
      <c r="M140"/>
      <c r="N140"/>
      <c r="O140"/>
      <c r="P140"/>
      <c r="Q140"/>
      <c r="R140"/>
      <c r="S140"/>
      <c r="T140"/>
      <c r="U140"/>
      <c r="V140"/>
      <c r="W140"/>
      <c r="X140"/>
      <c r="Y140"/>
      <c r="Z140"/>
    </row>
    <row r="141" spans="13:26">
      <c r="M141"/>
      <c r="N141"/>
      <c r="O141"/>
      <c r="P141"/>
      <c r="Q141"/>
      <c r="R141"/>
      <c r="S141"/>
      <c r="T141"/>
      <c r="U141"/>
      <c r="V141"/>
      <c r="W141"/>
      <c r="X141"/>
      <c r="Y141"/>
      <c r="Z141"/>
    </row>
    <row r="142" spans="13:26">
      <c r="M142"/>
      <c r="N142"/>
      <c r="O142"/>
      <c r="P142"/>
      <c r="Q142"/>
      <c r="R142"/>
      <c r="S142"/>
      <c r="T142"/>
      <c r="U142"/>
      <c r="V142"/>
      <c r="W142"/>
      <c r="X142"/>
      <c r="Y142"/>
      <c r="Z142"/>
    </row>
    <row r="143" spans="13:26">
      <c r="M143"/>
      <c r="N143"/>
      <c r="O143"/>
      <c r="P143"/>
      <c r="Q143"/>
      <c r="R143"/>
      <c r="S143"/>
      <c r="T143"/>
      <c r="U143"/>
      <c r="V143"/>
      <c r="W143"/>
      <c r="X143"/>
      <c r="Y143"/>
      <c r="Z143"/>
    </row>
    <row r="144" spans="13:26">
      <c r="M144"/>
      <c r="N144"/>
      <c r="O144"/>
      <c r="P144"/>
      <c r="Q144"/>
      <c r="R144"/>
      <c r="S144"/>
      <c r="T144"/>
      <c r="U144"/>
      <c r="V144"/>
      <c r="W144"/>
      <c r="X144"/>
      <c r="Y144"/>
      <c r="Z144"/>
    </row>
    <row r="145" spans="13:26">
      <c r="M145"/>
      <c r="N145"/>
      <c r="O145"/>
      <c r="P145"/>
      <c r="Q145"/>
      <c r="R145"/>
      <c r="S145"/>
      <c r="T145"/>
      <c r="U145"/>
      <c r="V145"/>
      <c r="W145"/>
      <c r="X145"/>
      <c r="Y145"/>
      <c r="Z145"/>
    </row>
    <row r="146" spans="13:26">
      <c r="M146"/>
      <c r="N146"/>
      <c r="O146"/>
      <c r="P146"/>
      <c r="Q146"/>
      <c r="R146"/>
      <c r="S146"/>
      <c r="T146"/>
      <c r="U146"/>
      <c r="V146"/>
      <c r="W146"/>
      <c r="X146"/>
      <c r="Y146"/>
      <c r="Z146"/>
    </row>
    <row r="147" spans="13:26">
      <c r="M147"/>
      <c r="N147"/>
      <c r="O147"/>
      <c r="P147"/>
      <c r="Q147"/>
      <c r="R147"/>
      <c r="S147"/>
      <c r="T147"/>
      <c r="U147"/>
      <c r="V147"/>
      <c r="W147"/>
      <c r="X147"/>
      <c r="Y147"/>
      <c r="Z147"/>
    </row>
    <row r="148" spans="13:26">
      <c r="M148"/>
      <c r="N148"/>
      <c r="O148"/>
      <c r="P148"/>
      <c r="Q148"/>
      <c r="R148"/>
      <c r="S148"/>
      <c r="T148"/>
      <c r="U148"/>
      <c r="V148"/>
      <c r="W148"/>
      <c r="X148"/>
      <c r="Y148"/>
      <c r="Z148"/>
    </row>
    <row r="149" spans="13:26">
      <c r="M149"/>
      <c r="N149"/>
      <c r="O149"/>
      <c r="P149"/>
      <c r="Q149"/>
      <c r="R149"/>
      <c r="S149"/>
      <c r="T149"/>
      <c r="U149"/>
      <c r="V149"/>
      <c r="W149"/>
      <c r="X149"/>
      <c r="Y149"/>
      <c r="Z149"/>
    </row>
    <row r="150" spans="13:26">
      <c r="M150"/>
      <c r="N150"/>
      <c r="O150"/>
      <c r="P150"/>
      <c r="Q150"/>
      <c r="R150"/>
      <c r="S150"/>
      <c r="T150"/>
      <c r="U150"/>
      <c r="V150"/>
      <c r="W150"/>
      <c r="X150"/>
      <c r="Y150"/>
      <c r="Z150"/>
    </row>
    <row r="151" spans="13:26">
      <c r="M151"/>
      <c r="N151"/>
      <c r="O151"/>
      <c r="P151"/>
      <c r="Q151"/>
      <c r="R151"/>
      <c r="S151"/>
      <c r="T151"/>
      <c r="U151"/>
      <c r="V151"/>
      <c r="W151"/>
      <c r="X151"/>
      <c r="Y151"/>
      <c r="Z151"/>
    </row>
    <row r="152" spans="13:26">
      <c r="M152"/>
      <c r="N152"/>
      <c r="O152"/>
      <c r="P152"/>
      <c r="Q152"/>
      <c r="R152"/>
      <c r="S152"/>
      <c r="T152"/>
      <c r="U152"/>
      <c r="V152"/>
      <c r="W152"/>
      <c r="X152"/>
      <c r="Y152"/>
      <c r="Z152"/>
    </row>
    <row r="153" spans="13:26">
      <c r="M153"/>
      <c r="N153"/>
      <c r="O153"/>
      <c r="P153"/>
      <c r="Q153"/>
      <c r="R153"/>
      <c r="S153"/>
      <c r="T153"/>
      <c r="U153"/>
      <c r="V153"/>
      <c r="W153"/>
      <c r="X153"/>
      <c r="Y153"/>
      <c r="Z153"/>
    </row>
    <row r="154" spans="13:26">
      <c r="M154"/>
      <c r="N154"/>
      <c r="O154"/>
      <c r="P154"/>
      <c r="Q154"/>
      <c r="R154"/>
      <c r="S154"/>
      <c r="T154"/>
      <c r="U154"/>
      <c r="V154"/>
      <c r="W154"/>
      <c r="X154"/>
      <c r="Y154"/>
      <c r="Z154"/>
    </row>
    <row r="155" spans="13:26">
      <c r="M155"/>
      <c r="N155"/>
      <c r="O155"/>
      <c r="P155"/>
      <c r="Q155"/>
      <c r="R155"/>
      <c r="S155"/>
      <c r="T155"/>
      <c r="U155"/>
      <c r="V155"/>
      <c r="W155"/>
      <c r="X155"/>
      <c r="Y155"/>
      <c r="Z155"/>
    </row>
    <row r="156" spans="13:26">
      <c r="M156"/>
      <c r="N156"/>
      <c r="O156"/>
      <c r="P156"/>
      <c r="Q156"/>
      <c r="R156"/>
      <c r="S156"/>
      <c r="T156"/>
      <c r="U156"/>
      <c r="V156"/>
      <c r="W156"/>
      <c r="X156"/>
      <c r="Y156"/>
      <c r="Z156"/>
    </row>
    <row r="157" spans="13:26">
      <c r="M157"/>
      <c r="N157"/>
      <c r="O157"/>
      <c r="P157"/>
      <c r="Q157"/>
      <c r="R157"/>
      <c r="S157"/>
      <c r="T157"/>
      <c r="U157"/>
      <c r="V157"/>
      <c r="W157"/>
      <c r="X157"/>
      <c r="Y157"/>
      <c r="Z157"/>
    </row>
    <row r="158" spans="13:26">
      <c r="M158"/>
      <c r="N158"/>
      <c r="O158"/>
      <c r="P158"/>
      <c r="Q158"/>
      <c r="R158"/>
      <c r="S158"/>
      <c r="T158"/>
      <c r="U158"/>
      <c r="V158"/>
      <c r="W158"/>
      <c r="X158"/>
      <c r="Y158"/>
      <c r="Z158"/>
    </row>
    <row r="159" spans="13:26">
      <c r="M159"/>
      <c r="N159"/>
      <c r="O159"/>
      <c r="P159"/>
      <c r="Q159"/>
      <c r="R159"/>
      <c r="S159"/>
      <c r="T159"/>
      <c r="U159"/>
      <c r="V159"/>
      <c r="W159"/>
      <c r="X159"/>
      <c r="Y159"/>
      <c r="Z159"/>
    </row>
    <row r="166" spans="1:12">
      <c r="A166"/>
      <c r="B166"/>
      <c r="C166"/>
      <c r="D166"/>
      <c r="E166"/>
      <c r="F166"/>
      <c r="G166"/>
      <c r="H166"/>
      <c r="I166"/>
      <c r="J166"/>
      <c r="K166"/>
      <c r="L166"/>
    </row>
    <row r="167" spans="1:12">
      <c r="A167"/>
      <c r="B167"/>
      <c r="C167"/>
      <c r="D167"/>
      <c r="E167"/>
      <c r="F167"/>
      <c r="G167"/>
      <c r="H167"/>
      <c r="I167"/>
      <c r="J167"/>
      <c r="K167"/>
      <c r="L167"/>
    </row>
    <row r="168" spans="1:12">
      <c r="A168"/>
      <c r="B168"/>
      <c r="C168"/>
      <c r="D168"/>
      <c r="E168"/>
      <c r="F168"/>
      <c r="G168"/>
      <c r="H168"/>
      <c r="I168"/>
      <c r="J168"/>
      <c r="K168"/>
      <c r="L168"/>
    </row>
    <row r="169" spans="1:12">
      <c r="A169"/>
      <c r="B169"/>
      <c r="C169"/>
      <c r="D169"/>
      <c r="E169"/>
      <c r="F169"/>
      <c r="G169"/>
      <c r="H169"/>
      <c r="I169"/>
      <c r="J169"/>
      <c r="K169"/>
      <c r="L169"/>
    </row>
    <row r="170" spans="1:12">
      <c r="A170"/>
      <c r="B170"/>
      <c r="C170"/>
      <c r="D170"/>
      <c r="E170"/>
      <c r="F170"/>
      <c r="G170"/>
      <c r="H170"/>
      <c r="I170"/>
      <c r="J170"/>
      <c r="K170"/>
      <c r="L170"/>
    </row>
    <row r="171" spans="1:12">
      <c r="A171"/>
      <c r="B171"/>
      <c r="C171"/>
      <c r="D171"/>
      <c r="E171"/>
      <c r="F171"/>
      <c r="G171"/>
      <c r="H171"/>
      <c r="I171"/>
      <c r="J171"/>
      <c r="K171"/>
      <c r="L171"/>
    </row>
    <row r="172" spans="1:12">
      <c r="A172"/>
      <c r="B172"/>
      <c r="C172"/>
      <c r="D172"/>
      <c r="E172"/>
      <c r="F172"/>
      <c r="G172"/>
      <c r="H172"/>
      <c r="I172"/>
      <c r="J172"/>
      <c r="K172"/>
      <c r="L172"/>
    </row>
    <row r="173" spans="1:12">
      <c r="A173"/>
      <c r="B173"/>
      <c r="C173"/>
      <c r="D173"/>
      <c r="E173"/>
      <c r="F173"/>
      <c r="G173"/>
      <c r="H173"/>
      <c r="I173"/>
      <c r="J173"/>
      <c r="K173"/>
      <c r="L173"/>
    </row>
    <row r="174" spans="1:12">
      <c r="A174"/>
      <c r="B174"/>
      <c r="C174"/>
      <c r="D174"/>
      <c r="E174"/>
      <c r="F174"/>
      <c r="G174"/>
      <c r="H174"/>
      <c r="I174"/>
      <c r="J174"/>
      <c r="K174"/>
      <c r="L174"/>
    </row>
    <row r="175" spans="1:12">
      <c r="A175"/>
      <c r="B175"/>
      <c r="C175"/>
      <c r="D175"/>
      <c r="E175"/>
      <c r="F175"/>
      <c r="G175"/>
      <c r="H175"/>
      <c r="I175"/>
      <c r="J175"/>
      <c r="K175"/>
      <c r="L175"/>
    </row>
    <row r="176" spans="1:12">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199" spans="1:9">
      <c r="A199"/>
      <c r="B199"/>
      <c r="C199"/>
      <c r="D199"/>
      <c r="E199"/>
      <c r="F199"/>
      <c r="G199"/>
      <c r="H199"/>
      <c r="I199"/>
    </row>
    <row r="200" spans="1:9">
      <c r="A200"/>
      <c r="B200"/>
      <c r="C200"/>
      <c r="D200"/>
      <c r="E200"/>
      <c r="F200"/>
      <c r="G200"/>
      <c r="H200"/>
      <c r="I200"/>
    </row>
    <row r="201" spans="1:9">
      <c r="A201"/>
      <c r="B201"/>
      <c r="C201"/>
      <c r="D201"/>
      <c r="E201"/>
      <c r="F201"/>
      <c r="G201"/>
      <c r="H201"/>
      <c r="I201"/>
    </row>
    <row r="202" spans="1:9">
      <c r="A202"/>
      <c r="B202"/>
      <c r="C202"/>
      <c r="D202"/>
      <c r="E202"/>
      <c r="F202"/>
      <c r="G202"/>
      <c r="H202"/>
      <c r="I202"/>
    </row>
    <row r="203" spans="1:9">
      <c r="A203"/>
      <c r="B203"/>
      <c r="C203"/>
      <c r="D203"/>
      <c r="E203"/>
      <c r="F203"/>
      <c r="G203"/>
      <c r="H203"/>
      <c r="I203"/>
    </row>
    <row r="204" spans="1:9">
      <c r="A204"/>
      <c r="B204"/>
      <c r="C204"/>
      <c r="D204"/>
      <c r="E204"/>
      <c r="F204"/>
      <c r="G204"/>
      <c r="H204"/>
      <c r="I204"/>
    </row>
    <row r="205" spans="1:9">
      <c r="A205"/>
      <c r="B205"/>
      <c r="C205"/>
      <c r="D205"/>
      <c r="E205"/>
      <c r="F205"/>
      <c r="G205"/>
      <c r="H205"/>
      <c r="I205"/>
    </row>
    <row r="206" spans="1:9">
      <c r="A206"/>
      <c r="B206"/>
      <c r="C206"/>
      <c r="D206"/>
      <c r="E206"/>
      <c r="F206"/>
      <c r="G206"/>
      <c r="H206"/>
      <c r="I206"/>
    </row>
    <row r="207" spans="1:9">
      <c r="A207"/>
      <c r="B207"/>
      <c r="C207"/>
      <c r="D207"/>
      <c r="E207"/>
      <c r="F207"/>
      <c r="G207"/>
      <c r="H207"/>
      <c r="I207"/>
    </row>
    <row r="208" spans="1:9">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sheetData>
  <mergeCells count="4">
    <mergeCell ref="B24:M26"/>
    <mergeCell ref="H32:I32"/>
    <mergeCell ref="A74:M74"/>
    <mergeCell ref="B78:M80"/>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6145" r:id="rId4">
          <objectPr defaultSize="0" autoPict="0" r:id="rId5">
            <anchor moveWithCells="1" sizeWithCells="1">
              <from>
                <xdr:col>1</xdr:col>
                <xdr:colOff>685800</xdr:colOff>
                <xdr:row>42</xdr:row>
                <xdr:rowOff>167640</xdr:rowOff>
              </from>
              <to>
                <xdr:col>5</xdr:col>
                <xdr:colOff>495300</xdr:colOff>
                <xdr:row>44</xdr:row>
                <xdr:rowOff>7620</xdr:rowOff>
              </to>
            </anchor>
          </objectPr>
        </oleObject>
      </mc:Choice>
      <mc:Fallback>
        <oleObject progId="Equation.DSMT4" shapeId="6145" r:id="rId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0E06-1840-4B30-A903-3734352FBF0B}">
  <sheetPr>
    <pageSetUpPr fitToPage="1"/>
  </sheetPr>
  <dimension ref="A1:AA152"/>
  <sheetViews>
    <sheetView zoomScaleNormal="100" workbookViewId="0"/>
  </sheetViews>
  <sheetFormatPr defaultColWidth="9.109375" defaultRowHeight="15.6"/>
  <cols>
    <col min="1" max="1" width="9.6640625" style="1" customWidth="1"/>
    <col min="2" max="3" width="12.33203125" style="1" customWidth="1"/>
    <col min="4" max="4" width="13.88671875" style="1" customWidth="1"/>
    <col min="5" max="11" width="12.33203125" style="1" customWidth="1"/>
    <col min="12" max="12" width="13.88671875" style="1" customWidth="1"/>
    <col min="13" max="13" width="12.33203125" style="1" customWidth="1"/>
    <col min="14" max="17" width="8.88671875" style="1" customWidth="1"/>
    <col min="18" max="18" width="14.44140625" style="1" customWidth="1"/>
    <col min="19" max="19" width="14.6640625" style="1" customWidth="1"/>
    <col min="20" max="20" width="13.77734375" style="1" customWidth="1"/>
    <col min="21" max="21" width="10.6640625" style="1" customWidth="1"/>
    <col min="22" max="23" width="8.88671875" style="1" customWidth="1"/>
    <col min="24" max="25" width="9.109375" style="1"/>
    <col min="26" max="27" width="11.5546875" style="1" bestFit="1" customWidth="1"/>
    <col min="28" max="16384" width="9.109375" style="1"/>
  </cols>
  <sheetData>
    <row r="1" spans="1:27" ht="15.75" customHeight="1">
      <c r="A1" s="23" t="s">
        <v>61</v>
      </c>
      <c r="B1" s="23"/>
      <c r="C1" s="342" t="s">
        <v>38</v>
      </c>
      <c r="D1" s="22"/>
      <c r="E1" s="22"/>
      <c r="F1" s="22"/>
      <c r="G1" s="22"/>
      <c r="H1" s="22"/>
      <c r="I1" s="22"/>
      <c r="J1" s="22"/>
      <c r="K1" s="22"/>
      <c r="L1" s="22"/>
      <c r="M1" s="22"/>
      <c r="N1"/>
      <c r="O1"/>
      <c r="P1"/>
      <c r="Q1"/>
      <c r="R1"/>
      <c r="S1"/>
      <c r="T1"/>
      <c r="U1"/>
      <c r="V1"/>
      <c r="W1"/>
      <c r="X1"/>
      <c r="Y1"/>
      <c r="Z1"/>
      <c r="AA1"/>
    </row>
    <row r="2" spans="1:27" ht="15.75" customHeight="1">
      <c r="A2" s="344" t="s">
        <v>362</v>
      </c>
      <c r="B2" s="344"/>
      <c r="C2" s="343"/>
      <c r="D2" s="343"/>
      <c r="E2" s="22"/>
      <c r="F2" s="22"/>
      <c r="G2" s="22"/>
      <c r="H2" s="22"/>
      <c r="I2" s="342"/>
      <c r="J2" s="342"/>
      <c r="K2" s="341"/>
      <c r="L2" s="341"/>
      <c r="M2" s="341"/>
      <c r="N2"/>
      <c r="O2"/>
      <c r="P2"/>
      <c r="Q2"/>
      <c r="R2"/>
      <c r="S2"/>
      <c r="T2"/>
      <c r="U2"/>
      <c r="V2"/>
      <c r="W2"/>
      <c r="X2"/>
      <c r="Y2"/>
      <c r="Z2"/>
      <c r="AA2"/>
    </row>
    <row r="3" spans="1:27">
      <c r="A3" s="1692" t="s">
        <v>361</v>
      </c>
      <c r="B3" s="1692"/>
      <c r="C3" s="1692"/>
      <c r="D3" s="1692"/>
      <c r="E3" s="1692"/>
      <c r="F3" s="1692"/>
      <c r="G3" s="1692"/>
      <c r="H3" s="1692"/>
      <c r="I3" s="1692"/>
      <c r="J3" s="1692"/>
      <c r="K3" s="1692"/>
      <c r="L3" s="1692"/>
      <c r="M3" s="1692"/>
      <c r="X3"/>
      <c r="Y3"/>
      <c r="Z3"/>
      <c r="AA3"/>
    </row>
    <row r="4" spans="1:27">
      <c r="A4" s="1693" t="s">
        <v>360</v>
      </c>
      <c r="B4" s="1693"/>
      <c r="C4" s="1693"/>
      <c r="D4" s="1693"/>
      <c r="E4" s="1693"/>
      <c r="F4" s="1693"/>
      <c r="G4" s="1693"/>
      <c r="H4" s="1693"/>
      <c r="I4" s="1693"/>
      <c r="J4" s="1693"/>
      <c r="K4" s="1693"/>
      <c r="L4" s="1693"/>
      <c r="M4" s="1693"/>
      <c r="X4"/>
      <c r="Y4"/>
      <c r="Z4"/>
      <c r="AA4"/>
    </row>
    <row r="5" spans="1:27">
      <c r="A5" s="339"/>
      <c r="B5" s="339"/>
      <c r="C5" s="339"/>
      <c r="D5" s="339"/>
      <c r="E5" s="339"/>
      <c r="F5" s="339"/>
      <c r="G5" s="339"/>
      <c r="H5" s="339"/>
      <c r="I5" s="339"/>
      <c r="J5" s="339"/>
      <c r="K5" s="339"/>
      <c r="L5" s="339"/>
      <c r="M5" s="339"/>
      <c r="X5"/>
      <c r="Y5"/>
      <c r="Z5"/>
      <c r="AA5"/>
    </row>
    <row r="6" spans="1:27" ht="15.6" customHeight="1">
      <c r="A6" s="336"/>
      <c r="B6" s="1694" t="s">
        <v>359</v>
      </c>
      <c r="C6" s="1696" t="s">
        <v>358</v>
      </c>
      <c r="D6" s="1697"/>
      <c r="E6" s="1697"/>
      <c r="F6" s="1697"/>
      <c r="G6" s="1697"/>
      <c r="H6" s="1697"/>
      <c r="I6" s="1697"/>
      <c r="J6" s="1697"/>
      <c r="K6" s="1697"/>
      <c r="L6" s="1698"/>
      <c r="M6" s="22"/>
      <c r="X6"/>
      <c r="Y6"/>
      <c r="Z6"/>
      <c r="AA6"/>
    </row>
    <row r="7" spans="1:27">
      <c r="A7" s="336"/>
      <c r="B7" s="1695"/>
      <c r="C7" s="334">
        <v>1</v>
      </c>
      <c r="D7" s="334">
        <v>2</v>
      </c>
      <c r="E7" s="334">
        <v>3</v>
      </c>
      <c r="F7" s="334">
        <v>4</v>
      </c>
      <c r="G7" s="334">
        <v>5</v>
      </c>
      <c r="H7" s="334">
        <v>6</v>
      </c>
      <c r="I7" s="334">
        <v>7</v>
      </c>
      <c r="J7" s="334">
        <v>8</v>
      </c>
      <c r="K7" s="334">
        <v>9</v>
      </c>
      <c r="L7" s="334">
        <v>10</v>
      </c>
      <c r="M7" s="22"/>
      <c r="X7"/>
      <c r="Y7"/>
      <c r="Z7"/>
      <c r="AA7"/>
    </row>
    <row r="8" spans="1:27" ht="15.75" customHeight="1">
      <c r="A8" s="333"/>
      <c r="B8" s="332">
        <v>1</v>
      </c>
      <c r="C8" s="331">
        <v>30374</v>
      </c>
      <c r="D8" s="331">
        <v>76584</v>
      </c>
      <c r="E8" s="331">
        <v>104035</v>
      </c>
      <c r="F8" s="331">
        <v>124753</v>
      </c>
      <c r="G8" s="331">
        <v>139829</v>
      </c>
      <c r="H8" s="331">
        <v>148994</v>
      </c>
      <c r="I8" s="331">
        <v>156583</v>
      </c>
      <c r="J8" s="331">
        <v>164187</v>
      </c>
      <c r="K8" s="331">
        <v>165169</v>
      </c>
      <c r="L8" s="331">
        <v>169267</v>
      </c>
      <c r="M8" s="22"/>
      <c r="X8"/>
      <c r="Y8"/>
      <c r="Z8"/>
      <c r="AA8"/>
    </row>
    <row r="9" spans="1:27" ht="18.600000000000001" customHeight="1">
      <c r="A9" s="333"/>
      <c r="B9" s="332">
        <v>2</v>
      </c>
      <c r="C9" s="331">
        <v>30346</v>
      </c>
      <c r="D9" s="331">
        <v>83030</v>
      </c>
      <c r="E9" s="331">
        <v>114913</v>
      </c>
      <c r="F9" s="331">
        <v>133802</v>
      </c>
      <c r="G9" s="331">
        <v>146265</v>
      </c>
      <c r="H9" s="331">
        <v>157740</v>
      </c>
      <c r="I9" s="331">
        <v>163287</v>
      </c>
      <c r="J9" s="331">
        <v>167517</v>
      </c>
      <c r="K9" s="331">
        <v>170685</v>
      </c>
      <c r="L9" s="331" t="s">
        <v>357</v>
      </c>
      <c r="M9" s="22"/>
      <c r="X9"/>
      <c r="Y9"/>
      <c r="Z9"/>
      <c r="AA9"/>
    </row>
    <row r="10" spans="1:27" ht="18.600000000000001" customHeight="1">
      <c r="A10" s="333"/>
      <c r="B10" s="332">
        <v>3</v>
      </c>
      <c r="C10" s="331">
        <v>35782</v>
      </c>
      <c r="D10" s="331">
        <v>93320</v>
      </c>
      <c r="E10" s="331">
        <v>131071</v>
      </c>
      <c r="F10" s="331">
        <v>145988</v>
      </c>
      <c r="G10" s="331">
        <v>160291</v>
      </c>
      <c r="H10" s="331">
        <v>171415</v>
      </c>
      <c r="I10" s="331">
        <v>179806</v>
      </c>
      <c r="J10" s="331">
        <v>185071</v>
      </c>
      <c r="K10" s="331" t="s">
        <v>357</v>
      </c>
      <c r="L10" s="331" t="s">
        <v>357</v>
      </c>
      <c r="M10" s="22"/>
      <c r="X10"/>
      <c r="Y10"/>
      <c r="Z10"/>
      <c r="AA10"/>
    </row>
    <row r="11" spans="1:27" ht="18.600000000000001" customHeight="1">
      <c r="A11" s="333"/>
      <c r="B11" s="332">
        <v>4</v>
      </c>
      <c r="C11" s="331">
        <v>32230</v>
      </c>
      <c r="D11" s="331">
        <v>87349</v>
      </c>
      <c r="E11" s="331">
        <v>124761</v>
      </c>
      <c r="F11" s="331">
        <v>148440</v>
      </c>
      <c r="G11" s="331">
        <v>163804</v>
      </c>
      <c r="H11" s="331">
        <v>175738</v>
      </c>
      <c r="I11" s="331">
        <v>184092</v>
      </c>
      <c r="J11" s="331" t="s">
        <v>357</v>
      </c>
      <c r="K11" s="331" t="s">
        <v>357</v>
      </c>
      <c r="L11" s="331" t="s">
        <v>357</v>
      </c>
      <c r="M11" s="22"/>
      <c r="X11"/>
      <c r="Y11"/>
      <c r="Z11"/>
      <c r="AA11"/>
    </row>
    <row r="12" spans="1:27" ht="18.600000000000001" customHeight="1">
      <c r="A12" s="333"/>
      <c r="B12" s="332">
        <v>5</v>
      </c>
      <c r="C12" s="331">
        <v>41583</v>
      </c>
      <c r="D12" s="331">
        <v>109196</v>
      </c>
      <c r="E12" s="331">
        <v>147524</v>
      </c>
      <c r="F12" s="331">
        <v>176075</v>
      </c>
      <c r="G12" s="331">
        <v>187492</v>
      </c>
      <c r="H12" s="331">
        <v>204788</v>
      </c>
      <c r="I12" s="331" t="s">
        <v>357</v>
      </c>
      <c r="J12" s="331" t="s">
        <v>357</v>
      </c>
      <c r="K12" s="331" t="s">
        <v>357</v>
      </c>
      <c r="L12" s="331" t="s">
        <v>357</v>
      </c>
      <c r="M12" s="22"/>
      <c r="X12"/>
      <c r="Y12"/>
      <c r="Z12"/>
      <c r="AA12"/>
    </row>
    <row r="13" spans="1:27" ht="18.600000000000001" customHeight="1">
      <c r="A13" s="333"/>
      <c r="B13" s="332">
        <v>6</v>
      </c>
      <c r="C13" s="331">
        <v>70281</v>
      </c>
      <c r="D13" s="331">
        <v>183436</v>
      </c>
      <c r="E13" s="331">
        <v>234094</v>
      </c>
      <c r="F13" s="331">
        <v>273204</v>
      </c>
      <c r="G13" s="331">
        <v>291046</v>
      </c>
      <c r="H13" s="331" t="s">
        <v>357</v>
      </c>
      <c r="I13" s="331" t="s">
        <v>357</v>
      </c>
      <c r="J13" s="331" t="s">
        <v>357</v>
      </c>
      <c r="K13" s="331" t="s">
        <v>357</v>
      </c>
      <c r="L13" s="331" t="s">
        <v>357</v>
      </c>
      <c r="M13" s="22"/>
      <c r="X13"/>
      <c r="Y13"/>
      <c r="Z13"/>
      <c r="AA13"/>
    </row>
    <row r="14" spans="1:27" ht="18.600000000000001" customHeight="1">
      <c r="A14" s="333"/>
      <c r="B14" s="332">
        <v>7</v>
      </c>
      <c r="C14" s="331">
        <v>71668</v>
      </c>
      <c r="D14" s="331">
        <v>177489</v>
      </c>
      <c r="E14" s="331">
        <v>229819</v>
      </c>
      <c r="F14" s="331">
        <v>258084</v>
      </c>
      <c r="G14" s="331" t="s">
        <v>357</v>
      </c>
      <c r="H14" s="331" t="s">
        <v>357</v>
      </c>
      <c r="I14" s="331" t="s">
        <v>357</v>
      </c>
      <c r="J14" s="331" t="s">
        <v>357</v>
      </c>
      <c r="K14" s="331" t="s">
        <v>357</v>
      </c>
      <c r="L14" s="331" t="s">
        <v>357</v>
      </c>
      <c r="M14" s="22"/>
      <c r="X14"/>
      <c r="Y14"/>
      <c r="Z14"/>
      <c r="AA14"/>
    </row>
    <row r="15" spans="1:27" ht="18.600000000000001" customHeight="1">
      <c r="A15" s="333"/>
      <c r="B15" s="332">
        <v>8</v>
      </c>
      <c r="C15" s="331">
        <v>59878</v>
      </c>
      <c r="D15" s="331">
        <v>150125</v>
      </c>
      <c r="E15" s="331">
        <v>191380</v>
      </c>
      <c r="F15" s="331" t="s">
        <v>357</v>
      </c>
      <c r="G15" s="331" t="s">
        <v>357</v>
      </c>
      <c r="H15" s="331" t="s">
        <v>357</v>
      </c>
      <c r="I15" s="331" t="s">
        <v>357</v>
      </c>
      <c r="J15" s="331" t="s">
        <v>357</v>
      </c>
      <c r="K15" s="331" t="s">
        <v>357</v>
      </c>
      <c r="L15" s="331" t="s">
        <v>357</v>
      </c>
      <c r="M15" s="22"/>
      <c r="X15"/>
      <c r="Y15"/>
      <c r="Z15"/>
      <c r="AA15"/>
    </row>
    <row r="16" spans="1:27" ht="18.600000000000001" customHeight="1">
      <c r="A16" s="333"/>
      <c r="B16" s="332">
        <v>9</v>
      </c>
      <c r="C16" s="331">
        <v>61721</v>
      </c>
      <c r="D16" s="331">
        <v>146504</v>
      </c>
      <c r="E16" s="331" t="s">
        <v>357</v>
      </c>
      <c r="F16" s="331" t="s">
        <v>357</v>
      </c>
      <c r="G16" s="331" t="s">
        <v>357</v>
      </c>
      <c r="H16" s="331" t="s">
        <v>357</v>
      </c>
      <c r="I16" s="331" t="s">
        <v>357</v>
      </c>
      <c r="J16" s="331" t="s">
        <v>357</v>
      </c>
      <c r="K16" s="331" t="s">
        <v>357</v>
      </c>
      <c r="L16" s="331" t="s">
        <v>357</v>
      </c>
      <c r="M16" s="22"/>
      <c r="X16"/>
      <c r="Y16"/>
      <c r="Z16"/>
      <c r="AA16"/>
    </row>
    <row r="17" spans="1:27" ht="18.600000000000001" customHeight="1">
      <c r="A17" s="333"/>
      <c r="B17" s="332">
        <v>10</v>
      </c>
      <c r="C17" s="331">
        <v>47807</v>
      </c>
      <c r="D17" s="331" t="s">
        <v>357</v>
      </c>
      <c r="E17" s="331" t="s">
        <v>357</v>
      </c>
      <c r="F17" s="331" t="s">
        <v>357</v>
      </c>
      <c r="G17" s="331" t="s">
        <v>357</v>
      </c>
      <c r="H17" s="331" t="s">
        <v>357</v>
      </c>
      <c r="I17" s="331" t="s">
        <v>357</v>
      </c>
      <c r="J17" s="331" t="s">
        <v>357</v>
      </c>
      <c r="K17" s="331" t="s">
        <v>357</v>
      </c>
      <c r="L17" s="331" t="s">
        <v>357</v>
      </c>
      <c r="M17" s="22"/>
      <c r="X17"/>
      <c r="Y17"/>
      <c r="Z17"/>
      <c r="AA17"/>
    </row>
    <row r="18" spans="1:27">
      <c r="A18" s="2"/>
      <c r="B18" s="2"/>
      <c r="C18" s="2"/>
      <c r="D18" s="2"/>
      <c r="E18" s="2"/>
      <c r="F18" s="2"/>
      <c r="G18" s="2"/>
      <c r="H18" s="2"/>
      <c r="I18" s="2"/>
      <c r="J18" s="2"/>
      <c r="K18" s="2"/>
      <c r="L18" s="2"/>
      <c r="M18" s="2"/>
      <c r="N18"/>
      <c r="O18"/>
      <c r="P18"/>
      <c r="Q18"/>
      <c r="R18"/>
      <c r="S18"/>
      <c r="T18"/>
      <c r="U18"/>
      <c r="V18"/>
      <c r="W18"/>
      <c r="X18"/>
      <c r="Y18"/>
      <c r="Z18"/>
      <c r="AA18"/>
    </row>
    <row r="19" spans="1:27">
      <c r="A19" s="319" t="s">
        <v>80</v>
      </c>
      <c r="B19" s="22" t="s">
        <v>356</v>
      </c>
      <c r="C19" s="22"/>
      <c r="D19" s="22"/>
      <c r="E19" s="22"/>
      <c r="F19" s="22"/>
      <c r="G19" s="22"/>
      <c r="H19" s="22"/>
      <c r="I19" s="22"/>
      <c r="J19" s="22"/>
      <c r="K19" s="22"/>
      <c r="L19" s="22"/>
      <c r="M19" s="22"/>
      <c r="N19"/>
      <c r="O19"/>
      <c r="P19"/>
      <c r="Q19"/>
      <c r="R19"/>
      <c r="S19"/>
      <c r="T19"/>
      <c r="U19"/>
      <c r="V19"/>
      <c r="W19"/>
      <c r="X19"/>
      <c r="Y19"/>
      <c r="Z19"/>
      <c r="AA19"/>
    </row>
    <row r="20" spans="1:27">
      <c r="A20" s="324"/>
      <c r="B20" s="324" t="s">
        <v>350</v>
      </c>
      <c r="C20" s="323" t="s">
        <v>355</v>
      </c>
      <c r="D20" s="22"/>
      <c r="E20" s="22"/>
      <c r="F20" s="22"/>
      <c r="G20" s="22"/>
      <c r="H20" s="22"/>
      <c r="I20" s="22"/>
      <c r="J20" s="22"/>
      <c r="K20" s="22"/>
      <c r="L20" s="22"/>
      <c r="M20" s="22"/>
      <c r="N20"/>
      <c r="O20"/>
      <c r="P20"/>
      <c r="Q20"/>
      <c r="R20"/>
      <c r="S20"/>
      <c r="T20"/>
      <c r="U20"/>
      <c r="V20"/>
      <c r="W20"/>
      <c r="X20"/>
      <c r="Y20"/>
      <c r="Z20"/>
      <c r="AA20"/>
    </row>
    <row r="21" spans="1:27" ht="16.2">
      <c r="A21" s="22"/>
      <c r="B21" s="22"/>
      <c r="C21" s="329" t="s">
        <v>64</v>
      </c>
      <c r="D21" s="22"/>
      <c r="E21" s="22"/>
      <c r="F21" s="22"/>
      <c r="G21" s="22"/>
      <c r="H21" s="22"/>
      <c r="I21" s="22"/>
      <c r="J21" s="22"/>
      <c r="K21" s="22"/>
      <c r="L21" s="22"/>
      <c r="M21" s="22"/>
      <c r="N21"/>
      <c r="O21"/>
      <c r="P21"/>
      <c r="Q21"/>
      <c r="R21"/>
      <c r="S21"/>
      <c r="T21"/>
      <c r="U21"/>
      <c r="V21"/>
      <c r="W21"/>
      <c r="X21"/>
      <c r="Y21"/>
      <c r="Z21"/>
      <c r="AA21"/>
    </row>
    <row r="22" spans="1:27">
      <c r="A22" s="328"/>
      <c r="B22" s="328"/>
      <c r="C22" s="328"/>
      <c r="D22" s="327" t="str">
        <f t="shared" ref="D22:L22" si="0">C7&amp;" - "&amp;D7</f>
        <v>1 - 2</v>
      </c>
      <c r="E22" s="327" t="str">
        <f t="shared" si="0"/>
        <v>2 - 3</v>
      </c>
      <c r="F22" s="327" t="str">
        <f t="shared" si="0"/>
        <v>3 - 4</v>
      </c>
      <c r="G22" s="327" t="str">
        <f t="shared" si="0"/>
        <v>4 - 5</v>
      </c>
      <c r="H22" s="327" t="str">
        <f t="shared" si="0"/>
        <v>5 - 6</v>
      </c>
      <c r="I22" s="327" t="str">
        <f t="shared" si="0"/>
        <v>6 - 7</v>
      </c>
      <c r="J22" s="327" t="str">
        <f t="shared" si="0"/>
        <v>7 - 8</v>
      </c>
      <c r="K22" s="327" t="str">
        <f t="shared" si="0"/>
        <v>8 - 9</v>
      </c>
      <c r="L22" s="327" t="str">
        <f t="shared" si="0"/>
        <v>9 - 10</v>
      </c>
      <c r="M22" s="328"/>
      <c r="N22"/>
      <c r="O22"/>
      <c r="P22"/>
      <c r="Q22"/>
      <c r="R22"/>
      <c r="S22"/>
      <c r="T22"/>
      <c r="U22"/>
      <c r="V22"/>
      <c r="W22"/>
      <c r="X22"/>
      <c r="Y22"/>
      <c r="Z22"/>
      <c r="AA22"/>
    </row>
    <row r="23" spans="1:27">
      <c r="A23" s="1" t="s">
        <v>355</v>
      </c>
      <c r="D23" s="330">
        <f t="shared" ref="D23:L23" ca="1" si="1">SUM(OFFSET(D8,0,0,11-D7,1))/SUM(OFFSET(C8,0,0,11-D7,1))</f>
        <v>2.5515727314843626</v>
      </c>
      <c r="E23" s="330">
        <f t="shared" ca="1" si="1"/>
        <v>1.3300972693172199</v>
      </c>
      <c r="F23" s="330">
        <f t="shared" ca="1" si="1"/>
        <v>1.1603077469787344</v>
      </c>
      <c r="G23" s="330">
        <f t="shared" ca="1" si="1"/>
        <v>1.0862698575821492</v>
      </c>
      <c r="H23" s="330">
        <f t="shared" ca="1" si="1"/>
        <v>1.0764641504561347</v>
      </c>
      <c r="I23" s="330">
        <f t="shared" ca="1" si="1"/>
        <v>1.0456974981915836</v>
      </c>
      <c r="J23" s="330">
        <f t="shared" ca="1" si="1"/>
        <v>1.0342201746731883</v>
      </c>
      <c r="K23" s="330">
        <f t="shared" ca="1" si="1"/>
        <v>1.0125111545233099</v>
      </c>
      <c r="L23" s="330">
        <f t="shared" ca="1" si="1"/>
        <v>1.0248109512075509</v>
      </c>
      <c r="N23"/>
      <c r="O23"/>
      <c r="P23"/>
      <c r="Q23"/>
      <c r="R23"/>
      <c r="S23"/>
      <c r="T23"/>
      <c r="U23"/>
      <c r="V23"/>
      <c r="W23"/>
      <c r="X23"/>
      <c r="Y23"/>
      <c r="Z23"/>
      <c r="AA23"/>
    </row>
    <row r="24" spans="1:27">
      <c r="N24"/>
      <c r="O24"/>
      <c r="P24"/>
      <c r="Q24"/>
      <c r="R24"/>
      <c r="S24"/>
      <c r="T24"/>
      <c r="U24"/>
      <c r="V24"/>
      <c r="W24"/>
      <c r="X24"/>
      <c r="Y24"/>
      <c r="Z24"/>
      <c r="AA24"/>
    </row>
    <row r="25" spans="1:27">
      <c r="A25" s="22"/>
      <c r="B25" s="319" t="s">
        <v>344</v>
      </c>
      <c r="C25" s="22" t="s">
        <v>354</v>
      </c>
      <c r="D25" s="22"/>
      <c r="E25" s="22"/>
      <c r="F25" s="22"/>
      <c r="G25" s="22"/>
      <c r="H25" s="22"/>
      <c r="I25" s="22"/>
      <c r="J25" s="22"/>
      <c r="K25" s="22"/>
      <c r="L25" s="22"/>
      <c r="M25" s="22"/>
      <c r="N25"/>
      <c r="O25"/>
      <c r="P25"/>
      <c r="Q25"/>
      <c r="R25"/>
      <c r="S25"/>
      <c r="T25"/>
      <c r="U25"/>
      <c r="V25"/>
      <c r="W25"/>
      <c r="X25"/>
      <c r="Y25"/>
      <c r="Z25"/>
      <c r="AA25"/>
    </row>
    <row r="26" spans="1:27" ht="16.2">
      <c r="A26" s="22"/>
      <c r="B26" s="22"/>
      <c r="C26" s="329" t="s">
        <v>64</v>
      </c>
      <c r="D26" s="22"/>
      <c r="E26" s="22"/>
      <c r="F26" s="22"/>
      <c r="G26" s="22"/>
      <c r="H26" s="22"/>
      <c r="I26" s="22"/>
      <c r="J26" s="22"/>
      <c r="K26" s="22"/>
      <c r="L26" s="22"/>
      <c r="M26" s="22"/>
      <c r="N26"/>
      <c r="O26"/>
      <c r="P26"/>
      <c r="Q26"/>
      <c r="R26"/>
      <c r="S26"/>
      <c r="T26"/>
      <c r="U26"/>
      <c r="V26"/>
      <c r="W26"/>
      <c r="X26"/>
      <c r="Y26"/>
      <c r="Z26"/>
      <c r="AA26"/>
    </row>
    <row r="27" spans="1:27">
      <c r="A27" s="328"/>
      <c r="B27" s="327" t="s">
        <v>47</v>
      </c>
      <c r="C27" s="327" t="s">
        <v>353</v>
      </c>
      <c r="D27" s="327">
        <f t="shared" ref="D27:L27" si="2">D7</f>
        <v>2</v>
      </c>
      <c r="E27" s="327">
        <f t="shared" si="2"/>
        <v>3</v>
      </c>
      <c r="F27" s="327">
        <f t="shared" si="2"/>
        <v>4</v>
      </c>
      <c r="G27" s="327">
        <f t="shared" si="2"/>
        <v>5</v>
      </c>
      <c r="H27" s="327">
        <f t="shared" si="2"/>
        <v>6</v>
      </c>
      <c r="I27" s="327">
        <f t="shared" si="2"/>
        <v>7</v>
      </c>
      <c r="J27" s="327">
        <f t="shared" si="2"/>
        <v>8</v>
      </c>
      <c r="K27" s="327">
        <f t="shared" si="2"/>
        <v>9</v>
      </c>
      <c r="L27" s="327">
        <f t="shared" si="2"/>
        <v>10</v>
      </c>
      <c r="M27" s="328"/>
      <c r="N27"/>
      <c r="O27"/>
      <c r="P27"/>
      <c r="Q27"/>
      <c r="R27"/>
      <c r="S27"/>
      <c r="T27"/>
      <c r="U27"/>
      <c r="V27"/>
      <c r="W27"/>
      <c r="X27"/>
      <c r="Y27"/>
      <c r="Z27"/>
      <c r="AA27"/>
    </row>
    <row r="28" spans="1:27">
      <c r="B28" s="327">
        <f t="shared" ref="B28:B36" si="3">B8</f>
        <v>1</v>
      </c>
      <c r="C28" s="37"/>
      <c r="D28" s="326">
        <f t="shared" ref="D28:L28" ca="1" si="4">IF(D8="","",C8*D$23)</f>
        <v>77501.470146106032</v>
      </c>
      <c r="E28" s="326">
        <f t="shared" ca="1" si="4"/>
        <v>101864.16927338997</v>
      </c>
      <c r="F28" s="326">
        <f t="shared" ca="1" si="4"/>
        <v>120712.61645693264</v>
      </c>
      <c r="G28" s="326">
        <f t="shared" ca="1" si="4"/>
        <v>135515.42354294585</v>
      </c>
      <c r="H28" s="326">
        <f t="shared" ca="1" si="4"/>
        <v>150520.90569413087</v>
      </c>
      <c r="I28" s="326">
        <f t="shared" ca="1" si="4"/>
        <v>155802.6530455568</v>
      </c>
      <c r="J28" s="326">
        <f t="shared" ca="1" si="4"/>
        <v>161941.29761085185</v>
      </c>
      <c r="K28" s="326">
        <f t="shared" ca="1" si="4"/>
        <v>166241.16892771868</v>
      </c>
      <c r="L28" s="326">
        <f t="shared" ca="1" si="4"/>
        <v>169266.99999999997</v>
      </c>
      <c r="N28"/>
      <c r="O28"/>
      <c r="P28"/>
      <c r="Q28"/>
      <c r="R28"/>
      <c r="S28"/>
      <c r="T28"/>
      <c r="U28"/>
      <c r="V28"/>
      <c r="W28"/>
      <c r="X28"/>
      <c r="Y28"/>
      <c r="Z28"/>
      <c r="AA28"/>
    </row>
    <row r="29" spans="1:27">
      <c r="B29" s="327">
        <f t="shared" si="3"/>
        <v>2</v>
      </c>
      <c r="C29" s="37"/>
      <c r="D29" s="326">
        <f t="shared" ref="D29:L29" ca="1" si="5">IF(D9="","",C9*D$23)</f>
        <v>77430.026109624465</v>
      </c>
      <c r="E29" s="326">
        <f t="shared" ca="1" si="5"/>
        <v>110437.97627140877</v>
      </c>
      <c r="F29" s="326">
        <f t="shared" ca="1" si="5"/>
        <v>133334.44412856729</v>
      </c>
      <c r="G29" s="326">
        <f t="shared" ca="1" si="5"/>
        <v>145345.07948420674</v>
      </c>
      <c r="H29" s="326">
        <f t="shared" ca="1" si="5"/>
        <v>157449.02896646655</v>
      </c>
      <c r="I29" s="326">
        <f t="shared" ca="1" si="5"/>
        <v>164948.32336474041</v>
      </c>
      <c r="J29" s="326">
        <f t="shared" ca="1" si="5"/>
        <v>168874.70966186089</v>
      </c>
      <c r="K29" s="326">
        <f t="shared" ca="1" si="5"/>
        <v>169612.83107228129</v>
      </c>
      <c r="L29" s="326" t="str">
        <f t="shared" si="5"/>
        <v/>
      </c>
      <c r="N29"/>
      <c r="O29"/>
      <c r="P29"/>
      <c r="Q29"/>
      <c r="R29"/>
      <c r="S29"/>
      <c r="T29"/>
      <c r="U29"/>
      <c r="V29"/>
      <c r="W29"/>
      <c r="X29"/>
      <c r="Y29"/>
      <c r="Z29"/>
      <c r="AA29"/>
    </row>
    <row r="30" spans="1:27">
      <c r="B30" s="327">
        <f t="shared" si="3"/>
        <v>3</v>
      </c>
      <c r="C30" s="37"/>
      <c r="D30" s="326">
        <f t="shared" ref="D30:L30" ca="1" si="6">IF(D10="","",C10*D$23)</f>
        <v>91300.375477973459</v>
      </c>
      <c r="E30" s="326">
        <f t="shared" ca="1" si="6"/>
        <v>124124.67717268296</v>
      </c>
      <c r="F30" s="326">
        <f t="shared" ca="1" si="6"/>
        <v>152082.69670424968</v>
      </c>
      <c r="G30" s="326">
        <f t="shared" ca="1" si="6"/>
        <v>158582.36396870279</v>
      </c>
      <c r="H30" s="326">
        <f t="shared" ca="1" si="6"/>
        <v>172547.5151407643</v>
      </c>
      <c r="I30" s="326">
        <f t="shared" ca="1" si="6"/>
        <v>179248.2366525103</v>
      </c>
      <c r="J30" s="326">
        <f t="shared" ca="1" si="6"/>
        <v>185958.99272728729</v>
      </c>
      <c r="K30" s="326" t="str">
        <f t="shared" si="6"/>
        <v/>
      </c>
      <c r="L30" s="326" t="str">
        <f t="shared" si="6"/>
        <v/>
      </c>
      <c r="N30"/>
      <c r="O30"/>
      <c r="P30"/>
      <c r="Q30"/>
      <c r="R30"/>
      <c r="S30"/>
      <c r="T30"/>
      <c r="U30"/>
      <c r="V30"/>
      <c r="W30"/>
      <c r="X30"/>
      <c r="Y30"/>
      <c r="Z30"/>
      <c r="AA30"/>
    </row>
    <row r="31" spans="1:27">
      <c r="B31" s="327">
        <f t="shared" si="3"/>
        <v>4</v>
      </c>
      <c r="C31" s="37"/>
      <c r="D31" s="326">
        <f t="shared" ref="D31:L31" ca="1" si="7">IF(D11="","",C11*D$23)</f>
        <v>82237.189135741006</v>
      </c>
      <c r="E31" s="326">
        <f t="shared" ca="1" si="7"/>
        <v>116182.66637758985</v>
      </c>
      <c r="F31" s="326">
        <f t="shared" ca="1" si="7"/>
        <v>144761.15482081388</v>
      </c>
      <c r="G31" s="326">
        <f t="shared" ca="1" si="7"/>
        <v>161245.89765949422</v>
      </c>
      <c r="H31" s="326">
        <f t="shared" ca="1" si="7"/>
        <v>176329.13370131669</v>
      </c>
      <c r="I31" s="326">
        <f t="shared" ca="1" si="7"/>
        <v>183768.78693719252</v>
      </c>
      <c r="J31" s="326" t="str">
        <f t="shared" si="7"/>
        <v/>
      </c>
      <c r="K31" s="326" t="str">
        <f t="shared" si="7"/>
        <v/>
      </c>
      <c r="L31" s="326" t="str">
        <f t="shared" si="7"/>
        <v/>
      </c>
      <c r="N31"/>
      <c r="O31"/>
      <c r="P31"/>
      <c r="Q31"/>
      <c r="R31"/>
      <c r="S31"/>
      <c r="T31"/>
      <c r="U31"/>
      <c r="V31"/>
      <c r="W31"/>
      <c r="X31"/>
      <c r="Y31"/>
      <c r="Z31"/>
      <c r="AA31"/>
    </row>
    <row r="32" spans="1:27">
      <c r="B32" s="327">
        <f t="shared" si="3"/>
        <v>5</v>
      </c>
      <c r="C32" s="37"/>
      <c r="D32" s="326">
        <f t="shared" ref="D32:L32" ca="1" si="8">IF(D12="","",C12*D$23)</f>
        <v>106102.04889331425</v>
      </c>
      <c r="E32" s="326">
        <f t="shared" ca="1" si="8"/>
        <v>145241.30142036316</v>
      </c>
      <c r="F32" s="326">
        <f t="shared" ca="1" si="8"/>
        <v>171173.24006529083</v>
      </c>
      <c r="G32" s="326">
        <f t="shared" ca="1" si="8"/>
        <v>191264.96517377693</v>
      </c>
      <c r="H32" s="326">
        <f t="shared" ca="1" si="8"/>
        <v>201828.41649732162</v>
      </c>
      <c r="I32" s="326" t="str">
        <f t="shared" si="8"/>
        <v/>
      </c>
      <c r="J32" s="326" t="str">
        <f t="shared" si="8"/>
        <v/>
      </c>
      <c r="K32" s="326" t="str">
        <f t="shared" si="8"/>
        <v/>
      </c>
      <c r="L32" s="326" t="str">
        <f t="shared" si="8"/>
        <v/>
      </c>
      <c r="N32"/>
      <c r="O32"/>
      <c r="P32"/>
      <c r="Q32"/>
      <c r="R32"/>
      <c r="S32"/>
      <c r="T32"/>
      <c r="U32"/>
      <c r="V32"/>
      <c r="W32"/>
      <c r="X32"/>
      <c r="Y32"/>
      <c r="Z32"/>
      <c r="AA32"/>
    </row>
    <row r="33" spans="1:27">
      <c r="B33" s="327">
        <f t="shared" si="3"/>
        <v>6</v>
      </c>
      <c r="C33" s="37"/>
      <c r="D33" s="326">
        <f t="shared" ref="D33:L33" ca="1" si="9">IF(D13="","",C13*D$23)</f>
        <v>179327.08314145249</v>
      </c>
      <c r="E33" s="326">
        <f t="shared" ca="1" si="9"/>
        <v>243987.72269447354</v>
      </c>
      <c r="F33" s="326">
        <f t="shared" ca="1" si="9"/>
        <v>271621.08172123984</v>
      </c>
      <c r="G33" s="326">
        <f t="shared" ca="1" si="9"/>
        <v>296773.2701708735</v>
      </c>
      <c r="H33" s="326" t="str">
        <f t="shared" si="9"/>
        <v/>
      </c>
      <c r="I33" s="326" t="str">
        <f t="shared" si="9"/>
        <v/>
      </c>
      <c r="J33" s="326" t="str">
        <f t="shared" si="9"/>
        <v/>
      </c>
      <c r="K33" s="326" t="str">
        <f t="shared" si="9"/>
        <v/>
      </c>
      <c r="L33" s="326" t="str">
        <f t="shared" si="9"/>
        <v/>
      </c>
      <c r="N33"/>
      <c r="O33"/>
      <c r="P33"/>
      <c r="Q33"/>
      <c r="R33"/>
      <c r="S33"/>
      <c r="T33"/>
      <c r="U33"/>
      <c r="V33"/>
      <c r="W33"/>
      <c r="X33"/>
      <c r="Y33"/>
      <c r="Z33"/>
      <c r="AA33"/>
    </row>
    <row r="34" spans="1:27">
      <c r="B34" s="327">
        <f t="shared" si="3"/>
        <v>7</v>
      </c>
      <c r="C34" s="37"/>
      <c r="D34" s="326">
        <f t="shared" ref="D34:L34" ca="1" si="10">IF(D14="","",C14*D$23)</f>
        <v>182866.11452002131</v>
      </c>
      <c r="E34" s="326">
        <f t="shared" ca="1" si="10"/>
        <v>236077.63423384406</v>
      </c>
      <c r="F34" s="326">
        <f t="shared" ca="1" si="10"/>
        <v>266660.76610290573</v>
      </c>
      <c r="G34" s="326" t="str">
        <f t="shared" si="10"/>
        <v/>
      </c>
      <c r="H34" s="326" t="str">
        <f t="shared" si="10"/>
        <v/>
      </c>
      <c r="I34" s="326" t="str">
        <f t="shared" si="10"/>
        <v/>
      </c>
      <c r="J34" s="326" t="str">
        <f t="shared" si="10"/>
        <v/>
      </c>
      <c r="K34" s="326" t="str">
        <f t="shared" si="10"/>
        <v/>
      </c>
      <c r="L34" s="326" t="str">
        <f t="shared" si="10"/>
        <v/>
      </c>
      <c r="N34"/>
      <c r="O34"/>
      <c r="P34"/>
      <c r="Q34"/>
      <c r="R34"/>
      <c r="S34"/>
      <c r="T34"/>
      <c r="U34"/>
      <c r="V34"/>
      <c r="W34"/>
      <c r="X34"/>
      <c r="Y34"/>
      <c r="Z34"/>
      <c r="AA34"/>
    </row>
    <row r="35" spans="1:27">
      <c r="B35" s="327">
        <f t="shared" si="3"/>
        <v>8</v>
      </c>
      <c r="C35" s="37"/>
      <c r="D35" s="326">
        <f t="shared" ref="D35:L35" ca="1" si="11">IF(D15="","",C15*D$23)</f>
        <v>152783.07201582065</v>
      </c>
      <c r="E35" s="326">
        <f t="shared" ca="1" si="11"/>
        <v>199680.85255624764</v>
      </c>
      <c r="F35" s="326" t="str">
        <f t="shared" si="11"/>
        <v/>
      </c>
      <c r="G35" s="326" t="str">
        <f t="shared" si="11"/>
        <v/>
      </c>
      <c r="H35" s="326" t="str">
        <f t="shared" si="11"/>
        <v/>
      </c>
      <c r="I35" s="326" t="str">
        <f t="shared" si="11"/>
        <v/>
      </c>
      <c r="J35" s="326" t="str">
        <f t="shared" si="11"/>
        <v/>
      </c>
      <c r="K35" s="326" t="str">
        <f t="shared" si="11"/>
        <v/>
      </c>
      <c r="L35" s="326" t="str">
        <f t="shared" si="11"/>
        <v/>
      </c>
      <c r="N35"/>
      <c r="O35"/>
      <c r="P35"/>
      <c r="Q35"/>
      <c r="R35"/>
      <c r="S35"/>
      <c r="T35"/>
      <c r="U35"/>
      <c r="V35"/>
      <c r="W35"/>
      <c r="X35"/>
      <c r="Y35"/>
      <c r="Z35"/>
      <c r="AA35"/>
    </row>
    <row r="36" spans="1:27">
      <c r="B36" s="327">
        <f t="shared" si="3"/>
        <v>9</v>
      </c>
      <c r="C36" s="37"/>
      <c r="D36" s="326">
        <f t="shared" ref="D36:L36" ca="1" si="12">IF(D16="","",C16*D$23)</f>
        <v>157485.62055994634</v>
      </c>
      <c r="E36" s="326" t="str">
        <f t="shared" si="12"/>
        <v/>
      </c>
      <c r="F36" s="326" t="str">
        <f t="shared" si="12"/>
        <v/>
      </c>
      <c r="G36" s="326" t="str">
        <f t="shared" si="12"/>
        <v/>
      </c>
      <c r="H36" s="326" t="str">
        <f t="shared" si="12"/>
        <v/>
      </c>
      <c r="I36" s="326" t="str">
        <f t="shared" si="12"/>
        <v/>
      </c>
      <c r="J36" s="326" t="str">
        <f t="shared" si="12"/>
        <v/>
      </c>
      <c r="K36" s="326" t="str">
        <f t="shared" si="12"/>
        <v/>
      </c>
      <c r="L36" s="326" t="str">
        <f t="shared" si="12"/>
        <v/>
      </c>
      <c r="N36"/>
      <c r="O36"/>
      <c r="P36"/>
      <c r="Q36"/>
      <c r="R36"/>
      <c r="S36"/>
      <c r="T36"/>
      <c r="U36"/>
      <c r="V36"/>
      <c r="W36"/>
      <c r="X36"/>
      <c r="Y36"/>
      <c r="Z36"/>
      <c r="AA36"/>
    </row>
    <row r="37" spans="1:27">
      <c r="N37"/>
      <c r="O37"/>
      <c r="P37"/>
      <c r="Q37"/>
      <c r="R37"/>
      <c r="S37"/>
      <c r="T37"/>
      <c r="U37"/>
      <c r="V37"/>
      <c r="W37"/>
      <c r="X37"/>
      <c r="Y37"/>
      <c r="Z37"/>
      <c r="AA37"/>
    </row>
    <row r="38" spans="1:27">
      <c r="A38" s="22" t="s">
        <v>352</v>
      </c>
      <c r="B38" s="22"/>
      <c r="C38" s="22"/>
      <c r="D38" s="22"/>
      <c r="E38" s="22"/>
      <c r="F38" s="22"/>
      <c r="G38" s="22"/>
      <c r="H38" s="22"/>
      <c r="I38" s="22"/>
      <c r="J38" s="22"/>
      <c r="K38" s="22"/>
      <c r="L38" s="22"/>
      <c r="M38" s="22"/>
      <c r="N38" s="325"/>
      <c r="O38" s="44"/>
      <c r="P38" s="44"/>
      <c r="Q38" s="44"/>
      <c r="R38" s="44"/>
      <c r="S38" s="44"/>
      <c r="T38" s="44"/>
      <c r="U38" s="44"/>
      <c r="V38" s="44"/>
      <c r="W38" s="44"/>
      <c r="X38" s="44"/>
      <c r="Y38" s="44"/>
      <c r="Z38" s="44"/>
      <c r="AA38" s="44"/>
    </row>
    <row r="39" spans="1:27">
      <c r="A39" s="319"/>
      <c r="B39" s="22"/>
      <c r="C39" s="22"/>
      <c r="D39" s="22"/>
      <c r="E39" s="22"/>
      <c r="F39" s="22"/>
      <c r="G39" s="22"/>
      <c r="H39" s="22"/>
      <c r="I39" s="22"/>
      <c r="J39" s="22"/>
      <c r="K39" s="22"/>
      <c r="L39" s="22"/>
      <c r="M39" s="22"/>
      <c r="N39" s="325"/>
      <c r="O39" s="44"/>
      <c r="P39" s="44"/>
      <c r="Q39" s="44"/>
      <c r="R39" s="44"/>
      <c r="S39" s="44"/>
      <c r="T39" s="44"/>
      <c r="U39" s="44"/>
      <c r="V39" s="44"/>
      <c r="W39" s="44"/>
      <c r="X39" s="44"/>
      <c r="Y39" s="44"/>
      <c r="Z39" s="44"/>
      <c r="AA39" s="44"/>
    </row>
    <row r="40" spans="1:27">
      <c r="A40" s="319" t="s">
        <v>9</v>
      </c>
      <c r="B40" s="22" t="s">
        <v>351</v>
      </c>
      <c r="C40" s="22"/>
      <c r="D40" s="22"/>
      <c r="E40" s="22"/>
      <c r="F40" s="22"/>
      <c r="G40" s="22"/>
      <c r="H40" s="22"/>
      <c r="I40" s="22"/>
      <c r="J40" s="22"/>
      <c r="K40" s="22"/>
      <c r="L40" s="22"/>
      <c r="M40" s="22"/>
      <c r="N40" s="325"/>
      <c r="O40" s="44"/>
      <c r="P40" s="44"/>
      <c r="Q40" s="44"/>
      <c r="R40" s="44"/>
      <c r="S40" s="44"/>
      <c r="T40" s="44"/>
      <c r="U40" s="44"/>
      <c r="V40" s="44"/>
      <c r="W40" s="44"/>
      <c r="X40" s="44"/>
      <c r="Y40" s="44"/>
      <c r="Z40" s="44"/>
      <c r="AA40" s="44"/>
    </row>
    <row r="41" spans="1:27">
      <c r="A41" s="324"/>
      <c r="B41" s="324" t="s">
        <v>350</v>
      </c>
      <c r="C41" s="323" t="s">
        <v>349</v>
      </c>
      <c r="D41" s="22"/>
      <c r="E41" s="22"/>
      <c r="F41" s="22"/>
      <c r="G41" s="22"/>
      <c r="H41" s="22"/>
      <c r="I41" s="22"/>
      <c r="J41" s="22"/>
      <c r="K41" s="22"/>
      <c r="L41" s="22"/>
      <c r="M41" s="22"/>
      <c r="N41" s="325"/>
      <c r="O41" s="44"/>
      <c r="P41" s="44"/>
      <c r="Q41" s="44"/>
      <c r="R41" s="44"/>
      <c r="S41" s="44"/>
      <c r="T41" s="44"/>
      <c r="U41" s="44"/>
      <c r="V41" s="44"/>
      <c r="W41" s="44"/>
      <c r="X41" s="44"/>
      <c r="Y41" s="44"/>
      <c r="Z41" s="44"/>
      <c r="AA41" s="44"/>
    </row>
    <row r="42" spans="1:27" ht="16.2">
      <c r="A42" s="319"/>
      <c r="B42" s="22"/>
      <c r="C42" s="322" t="s">
        <v>342</v>
      </c>
      <c r="D42" s="321"/>
      <c r="E42" s="321"/>
      <c r="F42" s="321"/>
      <c r="G42" s="321"/>
      <c r="H42" s="321"/>
      <c r="I42" s="321"/>
      <c r="J42" s="321"/>
      <c r="K42" s="321"/>
      <c r="L42" s="312"/>
      <c r="M42" s="312"/>
      <c r="N42" s="312"/>
      <c r="O42" s="312"/>
      <c r="P42" s="312"/>
      <c r="Q42" s="312"/>
      <c r="R42" s="312"/>
      <c r="S42" s="312"/>
      <c r="T42" s="312"/>
      <c r="U42" s="312"/>
      <c r="V42" s="312"/>
      <c r="W42" s="312"/>
      <c r="X42" s="312"/>
      <c r="Y42" s="312"/>
      <c r="Z42" s="312"/>
      <c r="AA42" s="312"/>
    </row>
    <row r="43" spans="1:27">
      <c r="N43"/>
      <c r="O43"/>
      <c r="P43"/>
      <c r="Q43"/>
      <c r="R43"/>
      <c r="S43"/>
      <c r="T43"/>
      <c r="U43"/>
      <c r="V43"/>
      <c r="W43"/>
      <c r="X43"/>
      <c r="Y43"/>
      <c r="Z43"/>
      <c r="AA43"/>
    </row>
    <row r="44" spans="1:27">
      <c r="A44" s="1" t="s">
        <v>348</v>
      </c>
      <c r="I44" s="1" t="s">
        <v>347</v>
      </c>
      <c r="N44"/>
      <c r="O44"/>
      <c r="P44"/>
      <c r="Q44"/>
      <c r="R44" s="1" t="s">
        <v>346</v>
      </c>
      <c r="S44"/>
      <c r="T44"/>
      <c r="U44"/>
      <c r="V44"/>
      <c r="W44"/>
      <c r="X44"/>
      <c r="Y44"/>
      <c r="Z44"/>
      <c r="AA44"/>
    </row>
    <row r="45" spans="1:27">
      <c r="N45"/>
      <c r="O45"/>
      <c r="P45"/>
      <c r="Q45"/>
      <c r="R45"/>
      <c r="S45"/>
      <c r="T45"/>
      <c r="U45"/>
      <c r="V45"/>
      <c r="W45"/>
      <c r="X45"/>
      <c r="Y45"/>
      <c r="Z45"/>
      <c r="AA45"/>
    </row>
    <row r="46" spans="1:27">
      <c r="A46" s="1" t="s">
        <v>325</v>
      </c>
      <c r="B46" s="1" t="s">
        <v>324</v>
      </c>
      <c r="I46" s="1" t="s">
        <v>324</v>
      </c>
      <c r="J46" s="1" t="s">
        <v>323</v>
      </c>
      <c r="N46"/>
      <c r="O46"/>
      <c r="P46"/>
      <c r="Q46"/>
      <c r="R46" s="1" t="s">
        <v>323</v>
      </c>
      <c r="S46" s="1" t="s">
        <v>345</v>
      </c>
      <c r="T46"/>
      <c r="U46"/>
      <c r="V46"/>
      <c r="W46"/>
      <c r="X46"/>
      <c r="Y46"/>
      <c r="Z46"/>
      <c r="AA46"/>
    </row>
    <row r="47" spans="1:27">
      <c r="A47" s="182">
        <f t="shared" ref="A47:A55" si="13">C8</f>
        <v>30374</v>
      </c>
      <c r="B47" s="182">
        <f t="shared" ref="B47:B55" si="14">D8</f>
        <v>76584</v>
      </c>
      <c r="I47" s="182">
        <f t="shared" ref="I47:J54" si="15">D8</f>
        <v>76584</v>
      </c>
      <c r="J47" s="182">
        <f t="shared" si="15"/>
        <v>104035</v>
      </c>
      <c r="N47"/>
      <c r="O47"/>
      <c r="P47"/>
      <c r="Q47"/>
      <c r="R47" s="183">
        <f t="shared" ref="R47:S53" si="16">E8</f>
        <v>104035</v>
      </c>
      <c r="S47" s="183">
        <f t="shared" si="16"/>
        <v>124753</v>
      </c>
      <c r="T47"/>
      <c r="U47"/>
      <c r="V47"/>
      <c r="W47"/>
      <c r="X47"/>
      <c r="Y47"/>
      <c r="Z47"/>
      <c r="AA47"/>
    </row>
    <row r="48" spans="1:27">
      <c r="A48" s="182">
        <f t="shared" si="13"/>
        <v>30346</v>
      </c>
      <c r="B48" s="182">
        <f t="shared" si="14"/>
        <v>83030</v>
      </c>
      <c r="I48" s="182">
        <f t="shared" si="15"/>
        <v>83030</v>
      </c>
      <c r="J48" s="182">
        <f t="shared" si="15"/>
        <v>114913</v>
      </c>
      <c r="N48"/>
      <c r="O48"/>
      <c r="P48"/>
      <c r="Q48"/>
      <c r="R48" s="183">
        <f t="shared" si="16"/>
        <v>114913</v>
      </c>
      <c r="S48" s="183">
        <f t="shared" si="16"/>
        <v>133802</v>
      </c>
      <c r="T48"/>
      <c r="U48"/>
      <c r="V48"/>
      <c r="W48"/>
      <c r="X48"/>
      <c r="Y48"/>
      <c r="Z48"/>
      <c r="AA48"/>
    </row>
    <row r="49" spans="1:27">
      <c r="A49" s="182">
        <f t="shared" si="13"/>
        <v>35782</v>
      </c>
      <c r="B49" s="182">
        <f t="shared" si="14"/>
        <v>93320</v>
      </c>
      <c r="I49" s="182">
        <f t="shared" si="15"/>
        <v>93320</v>
      </c>
      <c r="J49" s="182">
        <f t="shared" si="15"/>
        <v>131071</v>
      </c>
      <c r="N49"/>
      <c r="O49"/>
      <c r="P49"/>
      <c r="Q49"/>
      <c r="R49" s="183">
        <f t="shared" si="16"/>
        <v>131071</v>
      </c>
      <c r="S49" s="183">
        <f t="shared" si="16"/>
        <v>145988</v>
      </c>
      <c r="T49"/>
      <c r="U49"/>
      <c r="V49"/>
      <c r="W49"/>
      <c r="X49"/>
      <c r="Y49"/>
      <c r="Z49"/>
      <c r="AA49"/>
    </row>
    <row r="50" spans="1:27">
      <c r="A50" s="182">
        <f t="shared" si="13"/>
        <v>32230</v>
      </c>
      <c r="B50" s="182">
        <f t="shared" si="14"/>
        <v>87349</v>
      </c>
      <c r="I50" s="182">
        <f t="shared" si="15"/>
        <v>87349</v>
      </c>
      <c r="J50" s="182">
        <f t="shared" si="15"/>
        <v>124761</v>
      </c>
      <c r="N50"/>
      <c r="O50"/>
      <c r="P50"/>
      <c r="Q50"/>
      <c r="R50" s="183">
        <f t="shared" si="16"/>
        <v>124761</v>
      </c>
      <c r="S50" s="183">
        <f t="shared" si="16"/>
        <v>148440</v>
      </c>
      <c r="T50"/>
      <c r="U50"/>
      <c r="V50"/>
      <c r="W50"/>
      <c r="X50"/>
      <c r="Y50"/>
      <c r="Z50"/>
      <c r="AA50"/>
    </row>
    <row r="51" spans="1:27">
      <c r="A51" s="182">
        <f t="shared" si="13"/>
        <v>41583</v>
      </c>
      <c r="B51" s="182">
        <f t="shared" si="14"/>
        <v>109196</v>
      </c>
      <c r="I51" s="182">
        <f t="shared" si="15"/>
        <v>109196</v>
      </c>
      <c r="J51" s="182">
        <f t="shared" si="15"/>
        <v>147524</v>
      </c>
      <c r="N51"/>
      <c r="O51"/>
      <c r="P51"/>
      <c r="Q51"/>
      <c r="R51" s="183">
        <f t="shared" si="16"/>
        <v>147524</v>
      </c>
      <c r="S51" s="183">
        <f t="shared" si="16"/>
        <v>176075</v>
      </c>
      <c r="T51"/>
      <c r="U51"/>
      <c r="V51"/>
      <c r="W51"/>
      <c r="X51"/>
      <c r="Y51"/>
      <c r="Z51"/>
      <c r="AA51"/>
    </row>
    <row r="52" spans="1:27">
      <c r="A52" s="182">
        <f t="shared" si="13"/>
        <v>70281</v>
      </c>
      <c r="B52" s="182">
        <f t="shared" si="14"/>
        <v>183436</v>
      </c>
      <c r="I52" s="182">
        <f t="shared" si="15"/>
        <v>183436</v>
      </c>
      <c r="J52" s="182">
        <f t="shared" si="15"/>
        <v>234094</v>
      </c>
      <c r="N52"/>
      <c r="O52"/>
      <c r="P52"/>
      <c r="Q52"/>
      <c r="R52" s="183">
        <f t="shared" si="16"/>
        <v>234094</v>
      </c>
      <c r="S52" s="183">
        <f t="shared" si="16"/>
        <v>273204</v>
      </c>
      <c r="T52"/>
      <c r="U52"/>
      <c r="V52"/>
      <c r="W52"/>
      <c r="X52"/>
      <c r="Y52"/>
      <c r="Z52"/>
      <c r="AA52"/>
    </row>
    <row r="53" spans="1:27">
      <c r="A53" s="182">
        <f t="shared" si="13"/>
        <v>71668</v>
      </c>
      <c r="B53" s="182">
        <f t="shared" si="14"/>
        <v>177489</v>
      </c>
      <c r="I53" s="182">
        <f t="shared" si="15"/>
        <v>177489</v>
      </c>
      <c r="J53" s="182">
        <f t="shared" si="15"/>
        <v>229819</v>
      </c>
      <c r="N53"/>
      <c r="O53"/>
      <c r="P53"/>
      <c r="Q53"/>
      <c r="R53" s="183">
        <f t="shared" si="16"/>
        <v>229819</v>
      </c>
      <c r="S53" s="183">
        <f t="shared" si="16"/>
        <v>258084</v>
      </c>
      <c r="T53"/>
      <c r="U53"/>
      <c r="V53"/>
      <c r="W53"/>
      <c r="X53"/>
      <c r="Y53"/>
      <c r="Z53"/>
      <c r="AA53"/>
    </row>
    <row r="54" spans="1:27">
      <c r="A54" s="182">
        <f t="shared" si="13"/>
        <v>59878</v>
      </c>
      <c r="B54" s="182">
        <f t="shared" si="14"/>
        <v>150125</v>
      </c>
      <c r="I54" s="182">
        <f t="shared" si="15"/>
        <v>150125</v>
      </c>
      <c r="J54" s="182">
        <f t="shared" si="15"/>
        <v>191380</v>
      </c>
      <c r="N54"/>
      <c r="O54"/>
      <c r="P54"/>
      <c r="Q54"/>
      <c r="R54"/>
      <c r="S54"/>
      <c r="T54"/>
      <c r="U54"/>
      <c r="V54"/>
      <c r="W54"/>
      <c r="X54"/>
      <c r="Y54"/>
      <c r="Z54"/>
      <c r="AA54"/>
    </row>
    <row r="55" spans="1:27">
      <c r="A55" s="182">
        <f t="shared" si="13"/>
        <v>61721</v>
      </c>
      <c r="B55" s="182">
        <f t="shared" si="14"/>
        <v>146504</v>
      </c>
      <c r="N55"/>
      <c r="O55"/>
      <c r="P55"/>
      <c r="Q55"/>
      <c r="R55"/>
      <c r="S55"/>
      <c r="T55"/>
      <c r="U55"/>
      <c r="V55"/>
      <c r="W55"/>
      <c r="X55"/>
      <c r="Y55"/>
      <c r="Z55"/>
      <c r="AA55"/>
    </row>
    <row r="56" spans="1:27">
      <c r="B56" s="1" t="str">
        <f>D17</f>
        <v/>
      </c>
      <c r="N56"/>
      <c r="O56"/>
      <c r="P56"/>
      <c r="Q56"/>
      <c r="R56"/>
      <c r="S56"/>
      <c r="T56"/>
      <c r="U56"/>
      <c r="V56"/>
      <c r="W56"/>
      <c r="X56"/>
      <c r="Y56"/>
      <c r="Z56"/>
      <c r="AA56"/>
    </row>
    <row r="57" spans="1:27">
      <c r="N57"/>
      <c r="O57"/>
      <c r="P57"/>
      <c r="Q57"/>
      <c r="R57"/>
      <c r="S57"/>
      <c r="T57"/>
      <c r="U57"/>
      <c r="V57"/>
      <c r="W57"/>
      <c r="X57"/>
      <c r="Y57"/>
      <c r="Z57"/>
      <c r="AA57"/>
    </row>
    <row r="58" spans="1:27">
      <c r="N58"/>
      <c r="O58"/>
      <c r="P58"/>
      <c r="Q58"/>
      <c r="R58"/>
      <c r="S58"/>
      <c r="T58"/>
      <c r="U58"/>
      <c r="V58"/>
      <c r="W58"/>
      <c r="X58"/>
      <c r="Y58"/>
      <c r="Z58"/>
      <c r="AA58"/>
    </row>
    <row r="59" spans="1:27">
      <c r="N59"/>
      <c r="O59"/>
      <c r="P59"/>
      <c r="Q59"/>
      <c r="R59"/>
      <c r="S59"/>
      <c r="T59"/>
      <c r="U59"/>
      <c r="V59"/>
      <c r="W59"/>
      <c r="X59"/>
      <c r="Y59"/>
      <c r="Z59"/>
      <c r="AA59"/>
    </row>
    <row r="60" spans="1:27">
      <c r="A60" s="319"/>
      <c r="B60" s="324" t="s">
        <v>344</v>
      </c>
      <c r="C60" s="323" t="s">
        <v>343</v>
      </c>
      <c r="D60" s="22"/>
      <c r="E60" s="22"/>
      <c r="F60" s="22"/>
      <c r="G60" s="22"/>
      <c r="H60" s="22"/>
      <c r="I60" s="22"/>
      <c r="J60" s="22"/>
      <c r="K60" s="22"/>
      <c r="L60" s="22"/>
      <c r="M60" s="22"/>
      <c r="N60" s="44"/>
      <c r="O60" s="44"/>
      <c r="P60" s="44"/>
      <c r="Q60" s="44"/>
      <c r="R60" s="44"/>
      <c r="S60" s="44"/>
      <c r="T60" s="44"/>
      <c r="U60" s="44"/>
      <c r="V60" s="44"/>
      <c r="W60" s="44"/>
      <c r="X60" s="44"/>
      <c r="Y60" s="44"/>
      <c r="Z60" s="44"/>
      <c r="AA60" s="44"/>
    </row>
    <row r="61" spans="1:27" ht="16.2">
      <c r="A61" s="319"/>
      <c r="B61" s="22"/>
      <c r="C61" s="322" t="s">
        <v>342</v>
      </c>
      <c r="D61" s="321"/>
      <c r="E61" s="321"/>
      <c r="F61" s="321"/>
      <c r="G61" s="321"/>
      <c r="H61" s="321"/>
      <c r="I61" s="321"/>
      <c r="J61" s="321"/>
      <c r="K61" s="321"/>
      <c r="L61" s="312"/>
      <c r="M61" s="312"/>
      <c r="N61" s="312"/>
      <c r="O61" s="312"/>
      <c r="P61" s="312"/>
      <c r="Q61" s="312"/>
      <c r="R61" s="312"/>
      <c r="S61" s="312"/>
      <c r="T61" s="312"/>
      <c r="U61" s="312"/>
      <c r="V61" s="312"/>
      <c r="W61" s="312"/>
      <c r="X61" s="312"/>
      <c r="Y61" s="312"/>
      <c r="Z61" s="312"/>
      <c r="AA61" s="312"/>
    </row>
    <row r="62" spans="1:27">
      <c r="C62" s="293"/>
      <c r="N62"/>
      <c r="O62"/>
      <c r="P62"/>
      <c r="Q62"/>
      <c r="R62"/>
      <c r="S62"/>
      <c r="T62"/>
      <c r="U62"/>
      <c r="V62"/>
      <c r="W62"/>
      <c r="X62"/>
      <c r="Y62"/>
      <c r="Z62"/>
      <c r="AA62"/>
    </row>
    <row r="63" spans="1:27">
      <c r="A63" s="1" t="s">
        <v>341</v>
      </c>
      <c r="I63" s="1" t="s">
        <v>340</v>
      </c>
      <c r="N63"/>
      <c r="O63"/>
      <c r="P63"/>
      <c r="Q63"/>
      <c r="R63" s="1" t="s">
        <v>339</v>
      </c>
      <c r="S63"/>
      <c r="T63"/>
      <c r="U63"/>
      <c r="V63"/>
      <c r="W63"/>
      <c r="X63"/>
      <c r="Y63"/>
      <c r="Z63"/>
      <c r="AA63"/>
    </row>
    <row r="64" spans="1:27">
      <c r="N64"/>
      <c r="O64"/>
      <c r="P64"/>
      <c r="Q64"/>
      <c r="R64"/>
      <c r="S64"/>
      <c r="T64"/>
      <c r="U64"/>
      <c r="V64"/>
      <c r="W64"/>
      <c r="X64"/>
      <c r="Y64"/>
      <c r="Z64"/>
      <c r="AA64"/>
    </row>
    <row r="65" spans="1:27">
      <c r="A65" s="1" t="s">
        <v>325</v>
      </c>
      <c r="B65" s="1" t="s">
        <v>338</v>
      </c>
      <c r="I65" s="1" t="s">
        <v>324</v>
      </c>
      <c r="J65" s="1" t="s">
        <v>338</v>
      </c>
      <c r="N65"/>
      <c r="O65"/>
      <c r="P65"/>
      <c r="Q65"/>
      <c r="R65" s="1" t="s">
        <v>323</v>
      </c>
      <c r="S65" s="1" t="s">
        <v>338</v>
      </c>
      <c r="T65"/>
      <c r="U65"/>
      <c r="V65"/>
      <c r="W65"/>
      <c r="X65"/>
      <c r="Y65"/>
      <c r="Z65"/>
      <c r="AA65"/>
    </row>
    <row r="66" spans="1:27">
      <c r="A66" s="182">
        <f t="shared" ref="A66:A74" si="17">C8</f>
        <v>30374</v>
      </c>
      <c r="B66" s="320">
        <f t="shared" ref="B66:B74" ca="1" si="18">(D8-D28)/SQRT(A66)</f>
        <v>-5.2643038359369152</v>
      </c>
      <c r="I66" s="182">
        <f t="shared" ref="I66:I73" si="19">D8</f>
        <v>76584</v>
      </c>
      <c r="J66" s="320">
        <f t="shared" ref="J66:J73" ca="1" si="20">(E8-E28)/SQRT(I66)</f>
        <v>7.8443495360491529</v>
      </c>
      <c r="N66"/>
      <c r="O66"/>
      <c r="P66"/>
      <c r="Q66"/>
      <c r="R66" s="182">
        <f t="shared" ref="R66:R72" si="21">E8</f>
        <v>104035</v>
      </c>
      <c r="S66" s="320">
        <f t="shared" ref="S66:S72" ca="1" si="22">(F8-F28)/SQRT(R66)</f>
        <v>12.526589847748756</v>
      </c>
      <c r="T66"/>
      <c r="U66"/>
      <c r="V66"/>
      <c r="W66"/>
      <c r="X66"/>
      <c r="Y66"/>
      <c r="Z66"/>
      <c r="AA66"/>
    </row>
    <row r="67" spans="1:27">
      <c r="A67" s="182">
        <f t="shared" si="17"/>
        <v>30346</v>
      </c>
      <c r="B67" s="320">
        <f t="shared" ca="1" si="18"/>
        <v>32.146616954841875</v>
      </c>
      <c r="I67" s="182">
        <f t="shared" si="19"/>
        <v>83030</v>
      </c>
      <c r="J67" s="320">
        <f t="shared" ca="1" si="20"/>
        <v>15.530227708504553</v>
      </c>
      <c r="N67"/>
      <c r="O67"/>
      <c r="P67"/>
      <c r="Q67"/>
      <c r="R67" s="182">
        <f t="shared" si="21"/>
        <v>114913</v>
      </c>
      <c r="S67" s="320">
        <f t="shared" ca="1" si="22"/>
        <v>1.3792688680674361</v>
      </c>
      <c r="T67"/>
      <c r="U67"/>
      <c r="V67"/>
      <c r="W67"/>
      <c r="X67"/>
      <c r="Y67"/>
      <c r="Z67"/>
      <c r="AA67"/>
    </row>
    <row r="68" spans="1:27">
      <c r="A68" s="182">
        <f t="shared" si="17"/>
        <v>35782</v>
      </c>
      <c r="B68" s="320">
        <f t="shared" ca="1" si="18"/>
        <v>10.676731705431079</v>
      </c>
      <c r="I68" s="182">
        <f t="shared" si="19"/>
        <v>93320</v>
      </c>
      <c r="J68" s="320">
        <f t="shared" ca="1" si="20"/>
        <v>22.738802942350031</v>
      </c>
      <c r="N68"/>
      <c r="O68"/>
      <c r="P68"/>
      <c r="Q68"/>
      <c r="R68" s="182">
        <f t="shared" si="21"/>
        <v>131071</v>
      </c>
      <c r="S68" s="320">
        <f t="shared" ca="1" si="22"/>
        <v>-16.834444565503439</v>
      </c>
      <c r="T68"/>
      <c r="U68"/>
      <c r="V68"/>
      <c r="W68"/>
      <c r="X68"/>
      <c r="Y68"/>
      <c r="Z68"/>
      <c r="AA68"/>
    </row>
    <row r="69" spans="1:27">
      <c r="A69" s="182">
        <f t="shared" si="17"/>
        <v>32230</v>
      </c>
      <c r="B69" s="320">
        <f t="shared" ca="1" si="18"/>
        <v>28.473747134697071</v>
      </c>
      <c r="I69" s="182">
        <f t="shared" si="19"/>
        <v>87349</v>
      </c>
      <c r="J69" s="320">
        <f t="shared" ca="1" si="20"/>
        <v>29.025115980747142</v>
      </c>
      <c r="N69"/>
      <c r="O69"/>
      <c r="P69"/>
      <c r="Q69"/>
      <c r="R69" s="182">
        <f t="shared" si="21"/>
        <v>124761</v>
      </c>
      <c r="S69" s="320">
        <f t="shared" ca="1" si="22"/>
        <v>10.415307290338962</v>
      </c>
      <c r="T69"/>
      <c r="U69"/>
      <c r="V69"/>
      <c r="W69"/>
      <c r="X69"/>
      <c r="Y69"/>
      <c r="Z69"/>
      <c r="AA69"/>
    </row>
    <row r="70" spans="1:27">
      <c r="A70" s="182">
        <f t="shared" si="17"/>
        <v>41583</v>
      </c>
      <c r="B70" s="320">
        <f t="shared" ca="1" si="18"/>
        <v>15.172443789283584</v>
      </c>
      <c r="I70" s="182">
        <f t="shared" si="19"/>
        <v>109196</v>
      </c>
      <c r="J70" s="320">
        <f t="shared" ca="1" si="20"/>
        <v>6.907886665130321</v>
      </c>
      <c r="N70"/>
      <c r="O70"/>
      <c r="P70"/>
      <c r="Q70"/>
      <c r="R70" s="182">
        <f t="shared" si="21"/>
        <v>147524</v>
      </c>
      <c r="S70" s="320">
        <f t="shared" ca="1" si="22"/>
        <v>12.762057528928576</v>
      </c>
      <c r="T70"/>
      <c r="U70"/>
      <c r="V70"/>
      <c r="W70"/>
      <c r="X70"/>
      <c r="Y70"/>
      <c r="Z70"/>
      <c r="AA70"/>
    </row>
    <row r="71" spans="1:27">
      <c r="A71" s="182">
        <f t="shared" si="17"/>
        <v>70281</v>
      </c>
      <c r="B71" s="320">
        <f t="shared" ca="1" si="18"/>
        <v>15.499168063966833</v>
      </c>
      <c r="I71" s="182">
        <f t="shared" si="19"/>
        <v>183436</v>
      </c>
      <c r="J71" s="320">
        <f t="shared" ca="1" si="20"/>
        <v>-23.100290838266883</v>
      </c>
      <c r="N71"/>
      <c r="O71"/>
      <c r="P71"/>
      <c r="Q71"/>
      <c r="R71" s="182">
        <f t="shared" si="21"/>
        <v>234094</v>
      </c>
      <c r="S71" s="320">
        <f t="shared" ca="1" si="22"/>
        <v>3.2716237546761682</v>
      </c>
      <c r="T71"/>
      <c r="U71"/>
      <c r="V71"/>
      <c r="W71"/>
      <c r="X71"/>
      <c r="Y71"/>
      <c r="Z71"/>
      <c r="AA71"/>
    </row>
    <row r="72" spans="1:27">
      <c r="A72" s="182">
        <f t="shared" si="17"/>
        <v>71668</v>
      </c>
      <c r="B72" s="320">
        <f t="shared" ca="1" si="18"/>
        <v>-20.085684818533267</v>
      </c>
      <c r="I72" s="182">
        <f t="shared" si="19"/>
        <v>177489</v>
      </c>
      <c r="J72" s="320">
        <f t="shared" ca="1" si="20"/>
        <v>-14.855724953510448</v>
      </c>
      <c r="N72"/>
      <c r="O72"/>
      <c r="P72"/>
      <c r="Q72"/>
      <c r="R72" s="182">
        <f t="shared" si="21"/>
        <v>229819</v>
      </c>
      <c r="S72" s="320">
        <f t="shared" ca="1" si="22"/>
        <v>-17.890834624533994</v>
      </c>
      <c r="T72"/>
      <c r="U72"/>
      <c r="V72"/>
      <c r="W72"/>
      <c r="X72"/>
      <c r="Y72"/>
      <c r="Z72"/>
      <c r="AA72"/>
    </row>
    <row r="73" spans="1:27">
      <c r="A73" s="182">
        <f t="shared" si="17"/>
        <v>59878</v>
      </c>
      <c r="B73" s="320">
        <f t="shared" ca="1" si="18"/>
        <v>-10.862582809300095</v>
      </c>
      <c r="I73" s="182">
        <f t="shared" si="19"/>
        <v>150125</v>
      </c>
      <c r="J73" s="320">
        <f t="shared" ca="1" si="20"/>
        <v>-21.423784421866849</v>
      </c>
      <c r="N73"/>
      <c r="O73"/>
      <c r="P73"/>
      <c r="Q73"/>
      <c r="R73"/>
      <c r="S73"/>
      <c r="T73"/>
      <c r="U73"/>
      <c r="V73"/>
      <c r="W73"/>
      <c r="X73"/>
      <c r="Y73"/>
      <c r="Z73"/>
      <c r="AA73"/>
    </row>
    <row r="74" spans="1:27">
      <c r="A74" s="182">
        <f t="shared" si="17"/>
        <v>61721</v>
      </c>
      <c r="B74" s="320">
        <f t="shared" ca="1" si="18"/>
        <v>-44.202817963369625</v>
      </c>
      <c r="N74"/>
      <c r="O74"/>
      <c r="P74"/>
      <c r="Q74"/>
      <c r="R74"/>
      <c r="S74"/>
      <c r="T74"/>
      <c r="U74"/>
      <c r="V74"/>
      <c r="W74"/>
      <c r="X74"/>
      <c r="Y74"/>
      <c r="Z74"/>
      <c r="AA74"/>
    </row>
    <row r="75" spans="1:27">
      <c r="N75"/>
      <c r="O75"/>
      <c r="P75"/>
      <c r="Q75"/>
      <c r="R75"/>
      <c r="S75"/>
      <c r="T75"/>
      <c r="U75"/>
      <c r="V75"/>
      <c r="W75"/>
      <c r="X75"/>
      <c r="Y75"/>
      <c r="Z75"/>
      <c r="AA75"/>
    </row>
    <row r="76" spans="1:27">
      <c r="N76"/>
      <c r="O76"/>
      <c r="P76"/>
      <c r="Q76"/>
      <c r="R76"/>
      <c r="S76"/>
      <c r="T76"/>
      <c r="U76"/>
      <c r="V76"/>
      <c r="W76"/>
      <c r="X76"/>
      <c r="Y76"/>
      <c r="Z76"/>
      <c r="AA76"/>
    </row>
    <row r="77" spans="1:27">
      <c r="N77"/>
      <c r="O77"/>
      <c r="P77"/>
      <c r="Q77"/>
      <c r="R77"/>
      <c r="S77"/>
      <c r="T77"/>
      <c r="U77"/>
      <c r="V77"/>
      <c r="W77"/>
      <c r="X77"/>
      <c r="Y77"/>
      <c r="Z77"/>
      <c r="AA77"/>
    </row>
    <row r="78" spans="1:27">
      <c r="N78"/>
      <c r="O78"/>
      <c r="P78"/>
      <c r="Q78"/>
      <c r="R78"/>
      <c r="S78"/>
      <c r="T78"/>
      <c r="U78"/>
      <c r="V78"/>
      <c r="W78"/>
      <c r="X78"/>
      <c r="Y78"/>
      <c r="Z78"/>
      <c r="AA78"/>
    </row>
    <row r="79" spans="1:27">
      <c r="N79"/>
      <c r="O79"/>
      <c r="P79"/>
      <c r="Q79"/>
      <c r="R79"/>
      <c r="S79"/>
      <c r="T79"/>
      <c r="U79"/>
      <c r="V79"/>
      <c r="W79"/>
      <c r="X79"/>
      <c r="Y79"/>
      <c r="Z79"/>
      <c r="AA79"/>
    </row>
    <row r="80" spans="1:27">
      <c r="A80" s="319" t="s">
        <v>7</v>
      </c>
      <c r="B80" s="22" t="s">
        <v>337</v>
      </c>
      <c r="C80" s="22"/>
      <c r="D80" s="22"/>
      <c r="E80" s="22"/>
      <c r="F80" s="22"/>
      <c r="G80" s="22"/>
      <c r="H80" s="22"/>
      <c r="I80" s="22"/>
      <c r="J80" s="22"/>
      <c r="K80" s="22"/>
      <c r="L80" s="22"/>
      <c r="M80" s="22"/>
      <c r="N80" s="44"/>
      <c r="O80" s="44"/>
      <c r="P80" s="44"/>
      <c r="Q80" s="44"/>
      <c r="R80" s="44"/>
      <c r="S80" s="44"/>
      <c r="T80" s="44"/>
      <c r="U80" s="44"/>
      <c r="V80" s="44"/>
      <c r="W80" s="44"/>
      <c r="X80" s="44"/>
      <c r="Y80" s="44"/>
      <c r="Z80" s="44"/>
      <c r="AA80" s="44"/>
    </row>
    <row r="81" spans="1:27" ht="16.2">
      <c r="A81" s="319"/>
      <c r="B81" s="318" t="s">
        <v>64</v>
      </c>
      <c r="C81" s="22"/>
      <c r="D81" s="22"/>
      <c r="E81" s="22"/>
      <c r="F81" s="22"/>
      <c r="G81" s="22"/>
      <c r="H81" s="22"/>
      <c r="I81" s="22"/>
      <c r="J81" s="22"/>
      <c r="K81" s="22"/>
      <c r="L81" s="22"/>
      <c r="M81" s="22"/>
      <c r="N81" s="44"/>
      <c r="O81" s="44"/>
      <c r="P81" s="44"/>
      <c r="Q81" s="44"/>
      <c r="R81" s="44"/>
      <c r="S81" s="44"/>
      <c r="T81" s="44"/>
      <c r="U81" s="44"/>
      <c r="V81" s="44"/>
      <c r="W81" s="44"/>
      <c r="X81" s="44"/>
      <c r="Y81" s="44"/>
      <c r="Z81" s="44"/>
      <c r="AA81" s="44"/>
    </row>
    <row r="82" spans="1:27">
      <c r="A82" s="1699" t="s">
        <v>336</v>
      </c>
      <c r="B82" s="1700"/>
      <c r="C82" s="1700"/>
      <c r="D82" s="1700"/>
      <c r="E82" s="1700"/>
      <c r="F82" s="1700"/>
      <c r="G82" s="1700"/>
      <c r="H82" s="1700"/>
      <c r="I82" s="1700"/>
      <c r="J82" s="1700"/>
      <c r="K82" s="1700"/>
      <c r="L82" s="1700"/>
      <c r="M82" s="1700"/>
      <c r="N82" s="1700"/>
      <c r="O82" s="1700"/>
      <c r="P82" s="1700"/>
      <c r="Q82" s="1700"/>
      <c r="R82" s="1700"/>
      <c r="S82" s="1700"/>
      <c r="T82" s="1700"/>
      <c r="U82" s="1700"/>
      <c r="V82"/>
      <c r="W82"/>
      <c r="X82"/>
      <c r="Y82"/>
      <c r="Z82"/>
      <c r="AA82"/>
    </row>
    <row r="83" spans="1:27">
      <c r="A83" s="1700"/>
      <c r="B83" s="1700"/>
      <c r="C83" s="1700"/>
      <c r="D83" s="1700"/>
      <c r="E83" s="1700"/>
      <c r="F83" s="1700"/>
      <c r="G83" s="1700"/>
      <c r="H83" s="1700"/>
      <c r="I83" s="1700"/>
      <c r="J83" s="1700"/>
      <c r="K83" s="1700"/>
      <c r="L83" s="1700"/>
      <c r="M83" s="1700"/>
      <c r="N83" s="1700"/>
      <c r="O83" s="1700"/>
      <c r="P83" s="1700"/>
      <c r="Q83" s="1700"/>
      <c r="R83" s="1700"/>
      <c r="S83" s="1700"/>
      <c r="T83" s="1700"/>
      <c r="U83" s="1700"/>
      <c r="V83"/>
      <c r="W83"/>
      <c r="X83"/>
      <c r="Y83"/>
      <c r="Z83"/>
      <c r="AA83"/>
    </row>
    <row r="84" spans="1:27">
      <c r="A84" s="1700"/>
      <c r="B84" s="1700"/>
      <c r="C84" s="1700"/>
      <c r="D84" s="1700"/>
      <c r="E84" s="1700"/>
      <c r="F84" s="1700"/>
      <c r="G84" s="1700"/>
      <c r="H84" s="1700"/>
      <c r="I84" s="1700"/>
      <c r="J84" s="1700"/>
      <c r="K84" s="1700"/>
      <c r="L84" s="1700"/>
      <c r="M84" s="1700"/>
      <c r="N84" s="1700"/>
      <c r="O84" s="1700"/>
      <c r="P84" s="1700"/>
      <c r="Q84" s="1700"/>
      <c r="R84" s="1700"/>
      <c r="S84" s="1700"/>
      <c r="T84" s="1700"/>
      <c r="U84" s="1700"/>
      <c r="V84"/>
      <c r="W84"/>
      <c r="X84"/>
      <c r="Y84"/>
      <c r="Z84"/>
      <c r="AA84"/>
    </row>
    <row r="85" spans="1:27">
      <c r="A85" s="292" t="s">
        <v>335</v>
      </c>
      <c r="B85" s="292"/>
      <c r="C85" s="292"/>
      <c r="D85" s="292"/>
      <c r="E85" s="292"/>
      <c r="F85" s="292"/>
      <c r="G85" s="292"/>
      <c r="H85" s="292"/>
      <c r="I85" s="292"/>
      <c r="J85" s="292"/>
      <c r="K85" s="292"/>
      <c r="L85" s="292"/>
      <c r="M85" s="292"/>
      <c r="N85" s="291"/>
      <c r="O85" s="291"/>
      <c r="P85" s="291"/>
      <c r="Q85" s="291"/>
      <c r="R85" s="291"/>
      <c r="S85" s="291"/>
      <c r="T85" s="291"/>
      <c r="U85" s="291"/>
      <c r="V85"/>
      <c r="W85"/>
      <c r="X85"/>
      <c r="Y85"/>
      <c r="Z85"/>
      <c r="AA85"/>
    </row>
    <row r="86" spans="1:27">
      <c r="A86" s="292"/>
      <c r="B86" s="292"/>
      <c r="C86" s="292"/>
      <c r="D86" s="292"/>
      <c r="E86" s="292"/>
      <c r="F86" s="292"/>
      <c r="G86" s="292"/>
      <c r="H86" s="292"/>
      <c r="I86" s="292"/>
      <c r="J86" s="292"/>
      <c r="K86" s="292"/>
      <c r="L86" s="292"/>
      <c r="M86" s="292"/>
      <c r="N86" s="291"/>
      <c r="O86" s="291"/>
      <c r="P86" s="291"/>
      <c r="Q86" s="291"/>
      <c r="R86" s="291"/>
      <c r="S86" s="291"/>
      <c r="T86" s="291"/>
      <c r="U86" s="291"/>
      <c r="V86"/>
      <c r="W86"/>
      <c r="X86"/>
      <c r="Y86"/>
      <c r="Z86"/>
      <c r="AA86"/>
    </row>
    <row r="87" spans="1:27">
      <c r="A87" s="290" t="s">
        <v>4</v>
      </c>
      <c r="B87" s="292" t="s">
        <v>334</v>
      </c>
      <c r="C87" s="292"/>
      <c r="D87" s="292"/>
      <c r="E87" s="292"/>
      <c r="F87" s="292"/>
      <c r="G87" s="292"/>
      <c r="H87" s="292"/>
      <c r="I87" s="292"/>
      <c r="J87" s="292"/>
      <c r="K87" s="292"/>
      <c r="L87" s="292"/>
      <c r="M87" s="292"/>
      <c r="N87" s="291"/>
      <c r="O87" s="291"/>
      <c r="P87" s="291"/>
      <c r="Q87" s="291"/>
      <c r="R87" s="291"/>
      <c r="S87" s="291"/>
      <c r="T87" s="291"/>
      <c r="U87" s="291"/>
      <c r="V87"/>
      <c r="W87"/>
      <c r="X87"/>
      <c r="Y87"/>
      <c r="Z87"/>
      <c r="AA87"/>
    </row>
    <row r="88" spans="1:27" ht="16.2">
      <c r="A88" s="290"/>
      <c r="B88" s="316" t="s">
        <v>64</v>
      </c>
      <c r="C88" s="292"/>
      <c r="D88" s="292"/>
      <c r="E88" s="292"/>
      <c r="F88" s="292"/>
      <c r="G88" s="292"/>
      <c r="H88" s="292"/>
      <c r="I88" s="292"/>
      <c r="J88" s="292"/>
      <c r="K88" s="292"/>
      <c r="L88" s="292"/>
      <c r="M88" s="292"/>
      <c r="N88" s="291"/>
      <c r="O88" s="291"/>
      <c r="P88" s="291"/>
      <c r="Q88" s="291"/>
      <c r="R88" s="291"/>
      <c r="S88" s="291"/>
      <c r="T88" s="291"/>
      <c r="U88" s="291"/>
      <c r="V88"/>
      <c r="W88"/>
      <c r="X88"/>
      <c r="Y88"/>
      <c r="Z88"/>
      <c r="AA88"/>
    </row>
    <row r="89" spans="1:27" ht="18" customHeight="1">
      <c r="A89" s="1691" t="s">
        <v>333</v>
      </c>
      <c r="B89" s="1701"/>
      <c r="C89" s="1701"/>
      <c r="D89" s="1701"/>
      <c r="E89" s="1701"/>
      <c r="F89" s="1701"/>
      <c r="G89" s="1701"/>
      <c r="H89" s="1701"/>
      <c r="I89" s="1701"/>
      <c r="J89" s="1701"/>
      <c r="K89" s="1701"/>
      <c r="L89" s="1701"/>
      <c r="M89" s="1701"/>
      <c r="N89" s="1701"/>
      <c r="O89" s="1701"/>
      <c r="P89" s="1701"/>
      <c r="Q89" s="1701"/>
      <c r="R89" s="1701"/>
      <c r="S89" s="1701"/>
      <c r="T89" s="1701"/>
      <c r="U89" s="1701"/>
      <c r="V89"/>
      <c r="W89"/>
      <c r="X89"/>
      <c r="Y89"/>
      <c r="Z89"/>
      <c r="AA89"/>
    </row>
    <row r="90" spans="1:27">
      <c r="A90" s="1701"/>
      <c r="B90" s="1701"/>
      <c r="C90" s="1701"/>
      <c r="D90" s="1701"/>
      <c r="E90" s="1701"/>
      <c r="F90" s="1701"/>
      <c r="G90" s="1701"/>
      <c r="H90" s="1701"/>
      <c r="I90" s="1701"/>
      <c r="J90" s="1701"/>
      <c r="K90" s="1701"/>
      <c r="L90" s="1701"/>
      <c r="M90" s="1701"/>
      <c r="N90" s="1701"/>
      <c r="O90" s="1701"/>
      <c r="P90" s="1701"/>
      <c r="Q90" s="1701"/>
      <c r="R90" s="1701"/>
      <c r="S90" s="1701"/>
      <c r="T90" s="1701"/>
      <c r="U90" s="1701"/>
      <c r="V90"/>
      <c r="W90"/>
      <c r="X90"/>
      <c r="Y90"/>
      <c r="Z90"/>
      <c r="AA90"/>
    </row>
    <row r="91" spans="1:27">
      <c r="A91" s="1701"/>
      <c r="B91" s="1701"/>
      <c r="C91" s="1701"/>
      <c r="D91" s="1701"/>
      <c r="E91" s="1701"/>
      <c r="F91" s="1701"/>
      <c r="G91" s="1701"/>
      <c r="H91" s="1701"/>
      <c r="I91" s="1701"/>
      <c r="J91" s="1701"/>
      <c r="K91" s="1701"/>
      <c r="L91" s="1701"/>
      <c r="M91" s="1701"/>
      <c r="N91" s="1701"/>
      <c r="O91" s="1701"/>
      <c r="P91" s="1701"/>
      <c r="Q91" s="1701"/>
      <c r="R91" s="1701"/>
      <c r="S91" s="1701"/>
      <c r="T91" s="1701"/>
      <c r="U91" s="1701"/>
      <c r="V91"/>
      <c r="W91"/>
      <c r="X91"/>
      <c r="Y91"/>
      <c r="Z91"/>
      <c r="AA91"/>
    </row>
    <row r="92" spans="1:27">
      <c r="A92" s="292" t="s">
        <v>332</v>
      </c>
      <c r="B92" s="292"/>
      <c r="C92" s="292"/>
      <c r="D92" s="292"/>
      <c r="E92" s="292"/>
      <c r="F92" s="292"/>
      <c r="G92" s="292"/>
      <c r="H92" s="292"/>
      <c r="I92" s="292"/>
      <c r="J92" s="292"/>
      <c r="K92" s="292"/>
      <c r="L92" s="292"/>
      <c r="M92" s="292"/>
      <c r="N92" s="44"/>
      <c r="O92" s="44"/>
      <c r="P92" s="44"/>
      <c r="Q92" s="44"/>
      <c r="R92" s="44"/>
      <c r="S92" s="44"/>
      <c r="T92" s="44"/>
      <c r="U92" s="44"/>
      <c r="V92"/>
      <c r="W92"/>
      <c r="X92"/>
      <c r="Y92"/>
      <c r="Z92"/>
      <c r="AA92"/>
    </row>
    <row r="93" spans="1:27">
      <c r="A93" s="292"/>
      <c r="B93" s="292"/>
      <c r="C93" s="292"/>
      <c r="D93" s="292"/>
      <c r="E93" s="292"/>
      <c r="F93" s="292"/>
      <c r="G93" s="292"/>
      <c r="H93" s="292"/>
      <c r="I93" s="292"/>
      <c r="J93" s="292"/>
      <c r="K93" s="292"/>
      <c r="L93" s="292"/>
      <c r="M93" s="292"/>
      <c r="N93" s="44"/>
      <c r="O93" s="44"/>
      <c r="P93" s="44"/>
      <c r="Q93" s="44"/>
      <c r="R93" s="44"/>
      <c r="S93" s="44"/>
      <c r="T93" s="44"/>
      <c r="U93" s="44"/>
      <c r="V93"/>
      <c r="W93"/>
      <c r="X93"/>
      <c r="Y93"/>
      <c r="Z93"/>
      <c r="AA93"/>
    </row>
    <row r="94" spans="1:27">
      <c r="A94" s="290" t="s">
        <v>48</v>
      </c>
      <c r="B94" s="292" t="s">
        <v>331</v>
      </c>
      <c r="C94" s="292"/>
      <c r="D94" s="292"/>
      <c r="E94" s="292"/>
      <c r="F94" s="292"/>
      <c r="G94" s="292"/>
      <c r="H94" s="292"/>
      <c r="I94" s="292"/>
      <c r="J94" s="292"/>
      <c r="K94" s="292"/>
      <c r="L94" s="292"/>
      <c r="M94" s="292"/>
      <c r="N94" s="44"/>
      <c r="O94" s="44"/>
      <c r="P94" s="44"/>
      <c r="Q94" s="44"/>
      <c r="R94" s="44"/>
      <c r="S94" s="44"/>
      <c r="T94" s="44"/>
      <c r="U94" s="44"/>
      <c r="V94"/>
      <c r="W94"/>
      <c r="X94"/>
      <c r="Y94"/>
      <c r="Z94"/>
      <c r="AA94"/>
    </row>
    <row r="95" spans="1:27" ht="16.2">
      <c r="A95" s="292"/>
      <c r="B95" s="315" t="s">
        <v>330</v>
      </c>
      <c r="C95" s="314"/>
      <c r="D95" s="314"/>
      <c r="E95" s="314"/>
      <c r="F95" s="314"/>
      <c r="G95" s="314"/>
      <c r="H95" s="314"/>
      <c r="I95" s="314"/>
      <c r="J95" s="314"/>
      <c r="K95" s="313"/>
      <c r="L95" s="313"/>
      <c r="M95" s="313"/>
      <c r="N95" s="312"/>
      <c r="O95" s="312"/>
      <c r="P95" s="312"/>
      <c r="Q95" s="312"/>
      <c r="R95" s="312"/>
      <c r="S95" s="312"/>
      <c r="T95" s="312"/>
      <c r="U95" s="312"/>
    </row>
    <row r="96" spans="1:27">
      <c r="A96" s="230"/>
      <c r="B96" s="230"/>
      <c r="C96" s="230"/>
      <c r="D96" s="230"/>
      <c r="E96" s="230"/>
      <c r="F96" s="230"/>
      <c r="G96" s="230"/>
      <c r="H96" s="230"/>
      <c r="I96" s="230"/>
      <c r="J96" s="230"/>
      <c r="K96" s="230"/>
      <c r="L96" s="230"/>
      <c r="M96" s="230"/>
    </row>
    <row r="97" spans="1:21">
      <c r="A97" s="230" t="s">
        <v>329</v>
      </c>
      <c r="B97" s="230"/>
      <c r="C97" s="230"/>
      <c r="D97" s="230"/>
      <c r="E97" s="230"/>
      <c r="F97" s="230"/>
      <c r="G97" s="230"/>
      <c r="H97" s="230" t="s">
        <v>328</v>
      </c>
      <c r="I97" s="230"/>
      <c r="J97" s="230"/>
      <c r="K97" s="230"/>
      <c r="L97" s="230"/>
      <c r="M97" s="230"/>
      <c r="O97" s="230" t="s">
        <v>327</v>
      </c>
      <c r="P97" s="230"/>
      <c r="Q97" s="230"/>
      <c r="R97" s="230"/>
      <c r="S97" s="230"/>
      <c r="T97" s="230"/>
    </row>
    <row r="98" spans="1:21">
      <c r="A98" s="230"/>
      <c r="B98" s="230"/>
      <c r="C98" s="230"/>
      <c r="D98" s="292" t="s">
        <v>326</v>
      </c>
      <c r="E98" s="292"/>
      <c r="F98" s="292"/>
      <c r="G98" s="230"/>
      <c r="H98" s="230"/>
      <c r="I98" s="230"/>
      <c r="J98" s="230"/>
      <c r="K98" s="292" t="s">
        <v>326</v>
      </c>
      <c r="L98" s="292"/>
      <c r="M98" s="292"/>
      <c r="O98" s="230"/>
      <c r="P98" s="230"/>
      <c r="Q98" s="230"/>
      <c r="R98" s="292" t="s">
        <v>326</v>
      </c>
      <c r="S98" s="292"/>
      <c r="T98" s="292"/>
    </row>
    <row r="99" spans="1:21">
      <c r="A99" s="230" t="s">
        <v>325</v>
      </c>
      <c r="B99" s="230" t="s">
        <v>27</v>
      </c>
      <c r="C99" s="230"/>
      <c r="D99" s="311">
        <f t="array" ref="D99:E103">LINEST(B100:B108,A100:A108,TRUE,TRUE)</f>
        <v>1.3775691422911478</v>
      </c>
      <c r="E99" s="310">
        <v>8388.1910242373124</v>
      </c>
      <c r="F99" s="309"/>
      <c r="G99" s="230"/>
      <c r="H99" s="230" t="s">
        <v>324</v>
      </c>
      <c r="I99" s="230" t="s">
        <v>27</v>
      </c>
      <c r="J99" s="230"/>
      <c r="K99" s="311">
        <f t="array" ref="K99:L103">LINEST(I100:I107,H100:H107,TRUE,TRUE)</f>
        <v>0.1816057558070642</v>
      </c>
      <c r="L99" s="310">
        <v>17828.800622549556</v>
      </c>
      <c r="M99" s="309"/>
      <c r="O99" s="230" t="s">
        <v>323</v>
      </c>
      <c r="P99" s="230" t="s">
        <v>27</v>
      </c>
      <c r="Q99" s="230"/>
      <c r="R99" s="311">
        <f t="array" ref="R99:S103">LINEST(P100:P106,O100:O106,TRUE,TRUE)</f>
        <v>0.11808146822939147</v>
      </c>
      <c r="S99" s="310">
        <v>6552.4145463250134</v>
      </c>
      <c r="T99" s="309"/>
    </row>
    <row r="100" spans="1:21">
      <c r="A100" s="296">
        <f t="shared" ref="A100:A108" si="23">C8</f>
        <v>30374</v>
      </c>
      <c r="B100" s="296">
        <f t="shared" ref="B100:B108" si="24">D8-C8</f>
        <v>46210</v>
      </c>
      <c r="C100" s="230"/>
      <c r="D100" s="308">
        <v>0.10001620313945968</v>
      </c>
      <c r="E100" s="301">
        <v>5095.7367020536121</v>
      </c>
      <c r="F100" s="305"/>
      <c r="G100" s="230"/>
      <c r="H100" s="296">
        <f t="shared" ref="H100:H107" si="25">D8</f>
        <v>76584</v>
      </c>
      <c r="I100" s="296">
        <f t="shared" ref="I100:I107" si="26">E8-D8</f>
        <v>27451</v>
      </c>
      <c r="J100" s="230"/>
      <c r="K100" s="308">
        <v>2.7934233804636471E-2</v>
      </c>
      <c r="L100" s="301">
        <v>3543.2177006210381</v>
      </c>
      <c r="M100" s="305"/>
      <c r="O100" s="296">
        <f t="shared" ref="O100:O106" si="27">E8</f>
        <v>104035</v>
      </c>
      <c r="P100" s="296">
        <f t="shared" ref="P100:P106" si="28">F8-E8</f>
        <v>20718</v>
      </c>
      <c r="Q100" s="230"/>
      <c r="R100" s="308">
        <v>3.9301681462527591E-2</v>
      </c>
      <c r="S100" s="301">
        <v>6409.1063448686964</v>
      </c>
      <c r="T100" s="305"/>
    </row>
    <row r="101" spans="1:21">
      <c r="A101" s="296">
        <f t="shared" si="23"/>
        <v>30346</v>
      </c>
      <c r="B101" s="296">
        <f t="shared" si="24"/>
        <v>52684</v>
      </c>
      <c r="C101" s="295"/>
      <c r="D101" s="308">
        <v>0.96441429340193663</v>
      </c>
      <c r="E101" s="301">
        <v>4947.5925902686231</v>
      </c>
      <c r="F101" s="305"/>
      <c r="G101" s="295"/>
      <c r="H101" s="296">
        <f t="shared" si="25"/>
        <v>83030</v>
      </c>
      <c r="I101" s="296">
        <f t="shared" si="26"/>
        <v>31883</v>
      </c>
      <c r="J101" s="295"/>
      <c r="K101" s="308">
        <v>0.87568752253855975</v>
      </c>
      <c r="L101" s="301">
        <v>3231.5644982439239</v>
      </c>
      <c r="M101" s="305"/>
      <c r="O101" s="296">
        <f t="shared" si="27"/>
        <v>114913</v>
      </c>
      <c r="P101" s="296">
        <f t="shared" si="28"/>
        <v>18889</v>
      </c>
      <c r="Q101" s="295"/>
      <c r="R101" s="308">
        <v>0.64354342198784353</v>
      </c>
      <c r="S101" s="301">
        <v>5214.0780418427257</v>
      </c>
      <c r="T101" s="305"/>
    </row>
    <row r="102" spans="1:21">
      <c r="A102" s="296">
        <f t="shared" si="23"/>
        <v>35782</v>
      </c>
      <c r="B102" s="296">
        <f t="shared" si="24"/>
        <v>57538</v>
      </c>
      <c r="C102" s="295"/>
      <c r="D102" s="308">
        <v>189.70819183286713</v>
      </c>
      <c r="E102" s="301">
        <v>7</v>
      </c>
      <c r="F102" s="305"/>
      <c r="G102" s="295"/>
      <c r="H102" s="296">
        <f t="shared" si="25"/>
        <v>93320</v>
      </c>
      <c r="I102" s="296">
        <f t="shared" si="26"/>
        <v>37751</v>
      </c>
      <c r="J102" s="295"/>
      <c r="K102" s="308">
        <v>42.265468780968561</v>
      </c>
      <c r="L102" s="301">
        <v>6</v>
      </c>
      <c r="M102" s="305"/>
      <c r="O102" s="296">
        <f t="shared" si="27"/>
        <v>131071</v>
      </c>
      <c r="P102" s="296">
        <f t="shared" si="28"/>
        <v>14917</v>
      </c>
      <c r="Q102" s="295"/>
      <c r="R102" s="308">
        <v>9.0269539361102247</v>
      </c>
      <c r="S102" s="301">
        <v>5</v>
      </c>
      <c r="T102" s="305"/>
    </row>
    <row r="103" spans="1:21">
      <c r="A103" s="296">
        <f t="shared" si="23"/>
        <v>32230</v>
      </c>
      <c r="B103" s="296">
        <f t="shared" si="24"/>
        <v>55119</v>
      </c>
      <c r="C103" s="295"/>
      <c r="D103" s="307">
        <v>4643804686.9250336</v>
      </c>
      <c r="E103" s="306">
        <v>171350707.07496685</v>
      </c>
      <c r="F103" s="305"/>
      <c r="G103" s="295"/>
      <c r="H103" s="296">
        <f t="shared" si="25"/>
        <v>87349</v>
      </c>
      <c r="I103" s="296">
        <f t="shared" si="26"/>
        <v>37412</v>
      </c>
      <c r="J103" s="295"/>
      <c r="K103" s="307">
        <v>441378675.36213696</v>
      </c>
      <c r="L103" s="306">
        <v>62658054.637863018</v>
      </c>
      <c r="M103" s="305"/>
      <c r="O103" s="296">
        <f t="shared" si="27"/>
        <v>124761</v>
      </c>
      <c r="P103" s="296">
        <f t="shared" si="28"/>
        <v>23679</v>
      </c>
      <c r="Q103" s="295"/>
      <c r="R103" s="307">
        <v>245412274.58215332</v>
      </c>
      <c r="S103" s="306">
        <v>135933049.13213235</v>
      </c>
      <c r="T103" s="305"/>
    </row>
    <row r="104" spans="1:21">
      <c r="A104" s="296">
        <f t="shared" si="23"/>
        <v>41583</v>
      </c>
      <c r="B104" s="296">
        <f t="shared" si="24"/>
        <v>67613</v>
      </c>
      <c r="C104" s="295"/>
      <c r="D104" s="304"/>
      <c r="E104" s="290" t="s">
        <v>322</v>
      </c>
      <c r="F104" s="303" t="s">
        <v>321</v>
      </c>
      <c r="G104" s="295"/>
      <c r="H104" s="296">
        <f t="shared" si="25"/>
        <v>109196</v>
      </c>
      <c r="I104" s="296">
        <f t="shared" si="26"/>
        <v>38328</v>
      </c>
      <c r="J104" s="295"/>
      <c r="K104" s="304"/>
      <c r="L104" s="290" t="s">
        <v>322</v>
      </c>
      <c r="M104" s="303" t="s">
        <v>321</v>
      </c>
      <c r="O104" s="296">
        <f t="shared" si="27"/>
        <v>147524</v>
      </c>
      <c r="P104" s="296">
        <f t="shared" si="28"/>
        <v>28551</v>
      </c>
      <c r="Q104" s="295"/>
      <c r="R104" s="304"/>
      <c r="S104" s="290" t="s">
        <v>322</v>
      </c>
      <c r="T104" s="303" t="s">
        <v>321</v>
      </c>
    </row>
    <row r="105" spans="1:21">
      <c r="A105" s="296">
        <f t="shared" si="23"/>
        <v>70281</v>
      </c>
      <c r="B105" s="296">
        <f t="shared" si="24"/>
        <v>113155</v>
      </c>
      <c r="C105" s="295"/>
      <c r="D105" s="302" t="s">
        <v>320</v>
      </c>
      <c r="E105" s="301">
        <f>E99</f>
        <v>8388.1910242373124</v>
      </c>
      <c r="F105" s="300">
        <f>E100</f>
        <v>5095.7367020536121</v>
      </c>
      <c r="G105" s="295"/>
      <c r="H105" s="296">
        <f t="shared" si="25"/>
        <v>183436</v>
      </c>
      <c r="I105" s="296">
        <f t="shared" si="26"/>
        <v>50658</v>
      </c>
      <c r="J105" s="295"/>
      <c r="K105" s="302" t="s">
        <v>320</v>
      </c>
      <c r="L105" s="301">
        <f>L99</f>
        <v>17828.800622549556</v>
      </c>
      <c r="M105" s="300">
        <f>L100</f>
        <v>3543.2177006210381</v>
      </c>
      <c r="O105" s="296">
        <f t="shared" si="27"/>
        <v>234094</v>
      </c>
      <c r="P105" s="296">
        <f t="shared" si="28"/>
        <v>39110</v>
      </c>
      <c r="Q105" s="295"/>
      <c r="R105" s="302" t="s">
        <v>320</v>
      </c>
      <c r="S105" s="301">
        <f>S99</f>
        <v>6552.4145463250134</v>
      </c>
      <c r="T105" s="300">
        <f>S100</f>
        <v>6409.1063448686964</v>
      </c>
    </row>
    <row r="106" spans="1:21">
      <c r="A106" s="296">
        <f t="shared" si="23"/>
        <v>71668</v>
      </c>
      <c r="B106" s="296">
        <f t="shared" si="24"/>
        <v>105821</v>
      </c>
      <c r="C106" s="295"/>
      <c r="D106" s="299" t="s">
        <v>319</v>
      </c>
      <c r="E106" s="298">
        <f>D99</f>
        <v>1.3775691422911478</v>
      </c>
      <c r="F106" s="297">
        <f>D100</f>
        <v>0.10001620313945968</v>
      </c>
      <c r="G106" s="295"/>
      <c r="H106" s="296">
        <f t="shared" si="25"/>
        <v>177489</v>
      </c>
      <c r="I106" s="296">
        <f t="shared" si="26"/>
        <v>52330</v>
      </c>
      <c r="J106" s="295"/>
      <c r="K106" s="299" t="s">
        <v>319</v>
      </c>
      <c r="L106" s="298">
        <f>K99</f>
        <v>0.1816057558070642</v>
      </c>
      <c r="M106" s="297">
        <f>K100</f>
        <v>2.7934233804636471E-2</v>
      </c>
      <c r="O106" s="296">
        <f t="shared" si="27"/>
        <v>229819</v>
      </c>
      <c r="P106" s="296">
        <f t="shared" si="28"/>
        <v>28265</v>
      </c>
      <c r="Q106" s="295"/>
      <c r="R106" s="299" t="s">
        <v>319</v>
      </c>
      <c r="S106" s="298">
        <f>R99</f>
        <v>0.11808146822939147</v>
      </c>
      <c r="T106" s="297">
        <f>R100</f>
        <v>3.9301681462527591E-2</v>
      </c>
    </row>
    <row r="107" spans="1:21">
      <c r="A107" s="296">
        <f t="shared" si="23"/>
        <v>59878</v>
      </c>
      <c r="B107" s="296">
        <f t="shared" si="24"/>
        <v>90247</v>
      </c>
      <c r="C107" s="295"/>
      <c r="D107" s="295"/>
      <c r="E107" s="295"/>
      <c r="F107" s="295"/>
      <c r="G107" s="295"/>
      <c r="H107" s="296">
        <f t="shared" si="25"/>
        <v>150125</v>
      </c>
      <c r="I107" s="296">
        <f t="shared" si="26"/>
        <v>41255</v>
      </c>
      <c r="J107" s="295"/>
      <c r="K107" s="295"/>
      <c r="L107" s="295"/>
      <c r="M107" s="295"/>
      <c r="O107" s="230"/>
      <c r="P107" s="230"/>
      <c r="Q107" s="230"/>
      <c r="R107" s="230"/>
      <c r="S107" s="230"/>
      <c r="T107" s="230"/>
    </row>
    <row r="108" spans="1:21">
      <c r="A108" s="296">
        <f t="shared" si="23"/>
        <v>61721</v>
      </c>
      <c r="B108" s="296">
        <f t="shared" si="24"/>
        <v>84783</v>
      </c>
      <c r="C108" s="295"/>
      <c r="D108" s="295"/>
      <c r="E108" s="295"/>
      <c r="F108" s="295"/>
      <c r="G108" s="295"/>
      <c r="H108" s="230"/>
      <c r="I108" s="230"/>
      <c r="J108" s="295"/>
      <c r="K108" s="295"/>
      <c r="L108" s="295"/>
      <c r="M108" s="295"/>
    </row>
    <row r="109" spans="1:21">
      <c r="A109" s="230"/>
      <c r="B109" s="230"/>
      <c r="C109" s="289"/>
      <c r="D109" s="289"/>
      <c r="E109" s="289"/>
      <c r="F109" s="289"/>
      <c r="G109" s="289"/>
      <c r="H109" s="289"/>
      <c r="I109" s="289"/>
      <c r="J109" s="289"/>
      <c r="K109" s="289"/>
      <c r="L109" s="289"/>
      <c r="M109" s="289"/>
      <c r="O109" s="293"/>
    </row>
    <row r="110" spans="1:21">
      <c r="A110" s="294" t="s">
        <v>129</v>
      </c>
      <c r="B110" s="1689" t="s">
        <v>318</v>
      </c>
      <c r="C110" s="1689"/>
      <c r="D110" s="1689"/>
      <c r="E110" s="1689"/>
      <c r="F110" s="1689"/>
      <c r="G110" s="1689"/>
      <c r="H110" s="1689"/>
      <c r="I110" s="1689"/>
      <c r="J110" s="1689"/>
      <c r="K110" s="1689"/>
      <c r="L110" s="1689"/>
      <c r="M110" s="1689"/>
      <c r="N110" s="2"/>
      <c r="O110" s="2"/>
      <c r="P110" s="2"/>
      <c r="Q110" s="2"/>
      <c r="R110" s="2"/>
      <c r="S110" s="2"/>
      <c r="T110" s="2"/>
      <c r="U110" s="2"/>
    </row>
    <row r="111" spans="1:21" ht="16.2">
      <c r="A111" s="294"/>
      <c r="B111" s="1690" t="s">
        <v>64</v>
      </c>
      <c r="C111" s="1690"/>
      <c r="D111" s="1690"/>
      <c r="E111" s="1690"/>
      <c r="F111" s="1690"/>
      <c r="G111" s="1690"/>
      <c r="H111" s="1690"/>
      <c r="I111" s="1690"/>
      <c r="J111" s="1690"/>
      <c r="K111" s="1690"/>
      <c r="L111" s="1690"/>
      <c r="M111" s="1690"/>
    </row>
    <row r="112" spans="1:21">
      <c r="A112" s="1691" t="s">
        <v>317</v>
      </c>
      <c r="B112" s="1691"/>
      <c r="C112" s="1691"/>
      <c r="D112" s="1691"/>
      <c r="E112" s="1691"/>
      <c r="F112" s="1691"/>
      <c r="G112" s="1691"/>
      <c r="H112" s="1691"/>
      <c r="I112" s="1691"/>
      <c r="J112" s="1691"/>
      <c r="K112" s="1691"/>
      <c r="L112" s="1691"/>
      <c r="M112" s="1691"/>
    </row>
    <row r="113" spans="1:15">
      <c r="A113" s="1691"/>
      <c r="B113" s="1691"/>
      <c r="C113" s="1691"/>
      <c r="D113" s="1691"/>
      <c r="E113" s="1691"/>
      <c r="F113" s="1691"/>
      <c r="G113" s="1691"/>
      <c r="H113" s="1691"/>
      <c r="I113" s="1691"/>
      <c r="J113" s="1691"/>
      <c r="K113" s="1691"/>
      <c r="L113" s="1691"/>
      <c r="M113" s="1691"/>
      <c r="O113" s="293"/>
    </row>
    <row r="114" spans="1:15">
      <c r="A114" s="1691"/>
      <c r="B114" s="1691"/>
      <c r="C114" s="1691"/>
      <c r="D114" s="1691"/>
      <c r="E114" s="1691"/>
      <c r="F114" s="1691"/>
      <c r="G114" s="1691"/>
      <c r="H114" s="1691"/>
      <c r="I114" s="1691"/>
      <c r="J114" s="1691"/>
      <c r="K114" s="1691"/>
      <c r="L114" s="1691"/>
      <c r="M114" s="1691"/>
    </row>
    <row r="115" spans="1:15">
      <c r="A115" s="290" t="s">
        <v>235</v>
      </c>
      <c r="B115" s="292" t="s">
        <v>316</v>
      </c>
      <c r="C115" s="292"/>
      <c r="D115" s="291"/>
      <c r="E115" s="291"/>
      <c r="F115" s="291"/>
      <c r="G115" s="291"/>
      <c r="H115" s="291"/>
      <c r="I115" s="291"/>
      <c r="J115" s="291"/>
      <c r="K115" s="291"/>
      <c r="L115" s="291"/>
      <c r="M115" s="291"/>
    </row>
    <row r="116" spans="1:15" ht="16.2">
      <c r="A116" s="290"/>
      <c r="B116" s="1690" t="s">
        <v>64</v>
      </c>
      <c r="C116" s="1690"/>
      <c r="D116" s="1690"/>
      <c r="E116" s="1690"/>
      <c r="F116" s="1690"/>
      <c r="G116" s="1690"/>
      <c r="H116" s="1690"/>
      <c r="I116" s="1690"/>
      <c r="J116" s="1690"/>
      <c r="K116" s="1690"/>
      <c r="L116" s="1690"/>
      <c r="M116" s="1690"/>
    </row>
    <row r="117" spans="1:15">
      <c r="A117" s="217" t="s">
        <v>315</v>
      </c>
      <c r="B117" s="289"/>
      <c r="C117" s="289"/>
      <c r="D117" s="289"/>
      <c r="E117" s="289"/>
      <c r="F117" s="289"/>
      <c r="G117" s="289"/>
      <c r="H117" s="289"/>
      <c r="I117" s="289"/>
      <c r="J117" s="289"/>
      <c r="K117" s="289"/>
      <c r="L117" s="289"/>
      <c r="M117" s="289"/>
    </row>
    <row r="118" spans="1:15">
      <c r="A118"/>
      <c r="B118"/>
      <c r="C118"/>
      <c r="D118"/>
      <c r="E118"/>
      <c r="F118"/>
      <c r="G118"/>
      <c r="H118"/>
      <c r="I118"/>
      <c r="J118"/>
      <c r="K118"/>
      <c r="L118"/>
      <c r="M118"/>
    </row>
    <row r="119" spans="1:15">
      <c r="A119"/>
      <c r="B119"/>
      <c r="C119"/>
      <c r="D119"/>
      <c r="E119"/>
      <c r="F119"/>
      <c r="G119"/>
      <c r="H119"/>
      <c r="I119"/>
      <c r="J119"/>
      <c r="K119"/>
      <c r="L119"/>
      <c r="M119"/>
    </row>
    <row r="120" spans="1:15">
      <c r="A120"/>
      <c r="B120"/>
      <c r="C120"/>
      <c r="D120"/>
      <c r="E120"/>
      <c r="F120"/>
      <c r="G120"/>
      <c r="H120"/>
      <c r="I120"/>
      <c r="J120"/>
      <c r="K120"/>
      <c r="L120"/>
      <c r="M120"/>
    </row>
    <row r="121" spans="1:15">
      <c r="A121"/>
      <c r="B121"/>
      <c r="C121"/>
      <c r="D121"/>
      <c r="E121"/>
      <c r="F121"/>
      <c r="G121"/>
      <c r="H121"/>
      <c r="I121"/>
      <c r="J121"/>
      <c r="K121"/>
      <c r="L121"/>
      <c r="M121"/>
    </row>
    <row r="122" spans="1:15">
      <c r="A122"/>
      <c r="B122"/>
      <c r="C122"/>
      <c r="D122"/>
      <c r="E122"/>
      <c r="F122"/>
      <c r="G122"/>
      <c r="H122"/>
      <c r="I122"/>
      <c r="J122"/>
      <c r="K122"/>
      <c r="L122"/>
      <c r="M122"/>
    </row>
    <row r="123" spans="1:15">
      <c r="A123"/>
      <c r="B123"/>
      <c r="C123"/>
      <c r="D123"/>
      <c r="E123"/>
      <c r="F123"/>
      <c r="G123"/>
      <c r="H123"/>
      <c r="I123"/>
      <c r="J123"/>
      <c r="K123"/>
      <c r="L123"/>
      <c r="M123"/>
    </row>
    <row r="124" spans="1:15">
      <c r="A124"/>
      <c r="B124"/>
      <c r="C124"/>
      <c r="D124"/>
      <c r="E124"/>
      <c r="F124"/>
      <c r="G124"/>
      <c r="H124"/>
      <c r="I124"/>
      <c r="J124"/>
      <c r="K124"/>
      <c r="L124"/>
      <c r="M124"/>
    </row>
    <row r="125" spans="1:15">
      <c r="A125"/>
      <c r="B125"/>
      <c r="C125"/>
      <c r="D125"/>
      <c r="E125"/>
      <c r="F125"/>
      <c r="G125"/>
      <c r="H125"/>
      <c r="I125"/>
      <c r="J125"/>
      <c r="K125"/>
      <c r="L125"/>
      <c r="M125"/>
    </row>
    <row r="126" spans="1:15">
      <c r="A126"/>
      <c r="B126"/>
      <c r="C126"/>
      <c r="D126"/>
      <c r="E126"/>
      <c r="F126"/>
      <c r="G126"/>
      <c r="H126"/>
      <c r="I126"/>
      <c r="J126"/>
      <c r="K126"/>
      <c r="L126"/>
      <c r="M126"/>
    </row>
    <row r="127" spans="1:15">
      <c r="A127"/>
      <c r="B127"/>
      <c r="C127"/>
      <c r="D127"/>
      <c r="E127"/>
      <c r="F127"/>
      <c r="G127"/>
      <c r="H127"/>
      <c r="I127"/>
      <c r="J127"/>
      <c r="K127"/>
      <c r="L127"/>
      <c r="M127"/>
    </row>
    <row r="128" spans="1:15">
      <c r="A128"/>
      <c r="B128"/>
      <c r="C128"/>
      <c r="D128"/>
      <c r="E128"/>
      <c r="F128"/>
      <c r="G128"/>
      <c r="H128"/>
      <c r="I128"/>
      <c r="J128"/>
      <c r="K128"/>
      <c r="L128"/>
      <c r="M128"/>
    </row>
    <row r="129" spans="1:13">
      <c r="A129"/>
      <c r="B129"/>
      <c r="C129"/>
      <c r="D129"/>
      <c r="E129"/>
      <c r="F129"/>
      <c r="G129"/>
      <c r="H129"/>
      <c r="I129"/>
      <c r="J129"/>
      <c r="K129"/>
      <c r="L129"/>
      <c r="M129"/>
    </row>
    <row r="130" spans="1:13">
      <c r="A130"/>
      <c r="B130"/>
      <c r="C130"/>
      <c r="D130"/>
      <c r="E130"/>
      <c r="F130"/>
      <c r="G130"/>
      <c r="H130"/>
      <c r="I130"/>
      <c r="J130"/>
      <c r="K130"/>
      <c r="L130"/>
      <c r="M130"/>
    </row>
    <row r="131" spans="1:13">
      <c r="A131"/>
      <c r="B131"/>
      <c r="C131"/>
      <c r="D131"/>
      <c r="E131"/>
      <c r="F131"/>
      <c r="G131"/>
      <c r="H131"/>
      <c r="I131"/>
      <c r="J131"/>
      <c r="K131"/>
      <c r="L131"/>
    </row>
    <row r="132" spans="1:13">
      <c r="A132"/>
      <c r="B132"/>
      <c r="C132"/>
      <c r="D132"/>
      <c r="E132"/>
      <c r="F132"/>
      <c r="G132"/>
      <c r="H132"/>
      <c r="I132"/>
      <c r="J132"/>
    </row>
    <row r="133" spans="1:13">
      <c r="A133"/>
      <c r="B133"/>
      <c r="C133"/>
      <c r="D133"/>
      <c r="E133"/>
      <c r="F133"/>
      <c r="G133"/>
      <c r="H133"/>
      <c r="I133"/>
      <c r="J133"/>
    </row>
    <row r="134" spans="1:13">
      <c r="A134"/>
      <c r="B134"/>
      <c r="C134"/>
      <c r="D134"/>
      <c r="E134"/>
      <c r="F134"/>
      <c r="G134"/>
      <c r="H134"/>
      <c r="I134"/>
      <c r="J134"/>
    </row>
    <row r="135" spans="1:13">
      <c r="A135"/>
      <c r="B135"/>
      <c r="C135"/>
      <c r="D135"/>
      <c r="E135"/>
      <c r="F135"/>
      <c r="G135"/>
      <c r="H135"/>
      <c r="I135"/>
      <c r="J135"/>
    </row>
    <row r="136" spans="1:13">
      <c r="A136"/>
      <c r="B136"/>
      <c r="C136"/>
      <c r="D136"/>
      <c r="E136"/>
      <c r="F136"/>
      <c r="G136"/>
      <c r="H136"/>
      <c r="I136"/>
      <c r="J136"/>
    </row>
    <row r="137" spans="1:13">
      <c r="A137"/>
      <c r="B137"/>
      <c r="C137"/>
      <c r="D137"/>
      <c r="E137"/>
      <c r="F137"/>
      <c r="G137"/>
      <c r="H137"/>
      <c r="I137"/>
      <c r="J137"/>
    </row>
    <row r="138" spans="1:13">
      <c r="A138"/>
      <c r="B138"/>
      <c r="C138"/>
      <c r="D138"/>
      <c r="E138"/>
      <c r="F138"/>
      <c r="G138"/>
      <c r="H138"/>
      <c r="I138"/>
      <c r="J138"/>
    </row>
    <row r="139" spans="1:13">
      <c r="A139"/>
      <c r="B139"/>
      <c r="C139"/>
      <c r="D139"/>
      <c r="E139"/>
      <c r="F139"/>
      <c r="G139"/>
      <c r="H139"/>
      <c r="I139"/>
      <c r="J139"/>
    </row>
    <row r="140" spans="1:13">
      <c r="A140"/>
      <c r="B140"/>
      <c r="C140"/>
      <c r="D140"/>
      <c r="E140"/>
      <c r="F140"/>
      <c r="G140"/>
      <c r="H140"/>
      <c r="I140"/>
      <c r="J140"/>
    </row>
    <row r="141" spans="1:13">
      <c r="A141"/>
      <c r="B141"/>
      <c r="C141"/>
      <c r="D141"/>
      <c r="E141"/>
      <c r="F141"/>
      <c r="G141"/>
      <c r="H141"/>
      <c r="I141"/>
      <c r="J141"/>
    </row>
    <row r="142" spans="1:13">
      <c r="A142"/>
      <c r="B142"/>
      <c r="C142"/>
      <c r="D142"/>
      <c r="E142"/>
      <c r="F142"/>
      <c r="G142"/>
      <c r="H142"/>
      <c r="I142"/>
      <c r="J142"/>
    </row>
    <row r="143" spans="1:13">
      <c r="A143"/>
      <c r="B143"/>
      <c r="C143"/>
      <c r="D143"/>
      <c r="E143"/>
      <c r="F143"/>
      <c r="G143"/>
      <c r="H143"/>
      <c r="I143"/>
      <c r="J143"/>
    </row>
    <row r="144" spans="1:13">
      <c r="A144"/>
      <c r="B144"/>
      <c r="C144"/>
      <c r="D144"/>
      <c r="E144"/>
      <c r="F144"/>
      <c r="G144"/>
      <c r="H144"/>
      <c r="I144"/>
      <c r="J144"/>
    </row>
    <row r="145" spans="1:10">
      <c r="A145"/>
      <c r="B145"/>
      <c r="C145"/>
      <c r="D145"/>
      <c r="E145"/>
      <c r="F145"/>
      <c r="G145"/>
      <c r="H145"/>
      <c r="I145"/>
      <c r="J145"/>
    </row>
    <row r="146" spans="1:10">
      <c r="A146"/>
      <c r="B146"/>
      <c r="C146"/>
      <c r="D146"/>
      <c r="E146"/>
      <c r="F146"/>
      <c r="G146"/>
      <c r="H146"/>
      <c r="I146"/>
      <c r="J146"/>
    </row>
    <row r="147" spans="1:10">
      <c r="A147"/>
      <c r="B147"/>
      <c r="C147"/>
      <c r="D147"/>
      <c r="E147"/>
      <c r="F147"/>
      <c r="G147"/>
      <c r="H147"/>
      <c r="I147"/>
      <c r="J147"/>
    </row>
    <row r="148" spans="1:10">
      <c r="A148"/>
      <c r="B148"/>
      <c r="C148"/>
      <c r="D148"/>
      <c r="E148"/>
      <c r="F148"/>
      <c r="G148"/>
      <c r="H148"/>
      <c r="I148"/>
      <c r="J148"/>
    </row>
    <row r="149" spans="1:10">
      <c r="A149"/>
      <c r="B149"/>
      <c r="C149"/>
      <c r="D149"/>
      <c r="E149"/>
      <c r="F149"/>
      <c r="G149"/>
      <c r="H149"/>
      <c r="I149"/>
      <c r="J149"/>
    </row>
    <row r="150" spans="1:10">
      <c r="A150"/>
      <c r="B150"/>
      <c r="C150"/>
      <c r="D150"/>
      <c r="E150"/>
      <c r="F150"/>
      <c r="G150"/>
      <c r="H150"/>
      <c r="I150"/>
      <c r="J150"/>
    </row>
    <row r="151" spans="1:10">
      <c r="A151"/>
      <c r="B151"/>
      <c r="C151"/>
      <c r="D151"/>
      <c r="E151"/>
      <c r="F151"/>
      <c r="G151"/>
      <c r="H151"/>
      <c r="I151"/>
      <c r="J151"/>
    </row>
    <row r="152" spans="1:10">
      <c r="A152"/>
      <c r="B152"/>
      <c r="C152"/>
      <c r="D152"/>
      <c r="E152"/>
      <c r="F152"/>
      <c r="G152"/>
      <c r="H152"/>
      <c r="I152"/>
      <c r="J152"/>
    </row>
  </sheetData>
  <mergeCells count="10">
    <mergeCell ref="B110:M110"/>
    <mergeCell ref="B111:M111"/>
    <mergeCell ref="A112:M114"/>
    <mergeCell ref="B116:M116"/>
    <mergeCell ref="A3:M3"/>
    <mergeCell ref="A4:M4"/>
    <mergeCell ref="B6:B7"/>
    <mergeCell ref="C6:L6"/>
    <mergeCell ref="A82:U84"/>
    <mergeCell ref="A89:U91"/>
  </mergeCells>
  <pageMargins left="0.7" right="0.7" top="0.75" bottom="0.75" header="0.3" footer="0.3"/>
  <pageSetup scale="42" fitToHeight="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F2A69-2B0C-422A-9F94-BB5C098B9156}">
  <dimension ref="A1:BC67"/>
  <sheetViews>
    <sheetView zoomScaleNormal="100" workbookViewId="0"/>
  </sheetViews>
  <sheetFormatPr defaultColWidth="9.109375" defaultRowHeight="15.6"/>
  <cols>
    <col min="1" max="1" width="10.33203125" style="328" customWidth="1"/>
    <col min="2" max="2" width="12.33203125" style="328" customWidth="1"/>
    <col min="3" max="3" width="13" style="328" customWidth="1"/>
    <col min="4" max="11" width="12.33203125" style="328" customWidth="1"/>
    <col min="12" max="12" width="12.88671875" style="328" customWidth="1"/>
    <col min="13" max="13" width="9.6640625" style="328" customWidth="1"/>
    <col min="14" max="14" width="6.5546875" style="328" customWidth="1"/>
    <col min="15" max="25" width="10.6640625" style="328" customWidth="1"/>
    <col min="26" max="26" width="13" style="328" customWidth="1"/>
    <col min="27" max="27" width="13.6640625" style="328" customWidth="1"/>
    <col min="28" max="28" width="11.44140625" style="328" customWidth="1"/>
    <col min="29" max="29" width="10.109375" style="328" customWidth="1"/>
    <col min="30" max="31" width="10.6640625" style="328" customWidth="1"/>
    <col min="32" max="33" width="9.109375" style="328"/>
    <col min="34" max="34" width="11.5546875" style="328" customWidth="1"/>
    <col min="35" max="35" width="14.109375" style="328" bestFit="1" customWidth="1"/>
    <col min="36" max="36" width="11.44140625" style="328" customWidth="1"/>
    <col min="37" max="37" width="10.6640625" style="328" customWidth="1"/>
    <col min="38" max="41" width="9.109375" style="328"/>
    <col min="42" max="42" width="11.44140625" style="328" customWidth="1"/>
    <col min="43" max="43" width="14.33203125" style="328" bestFit="1" customWidth="1"/>
    <col min="44" max="44" width="11.44140625" style="328" customWidth="1"/>
    <col min="45" max="45" width="10.33203125" style="328" customWidth="1"/>
    <col min="46" max="46" width="10" style="328" customWidth="1"/>
    <col min="47" max="16384" width="9.109375" style="328"/>
  </cols>
  <sheetData>
    <row r="1" spans="1:55" ht="18" customHeight="1">
      <c r="A1" s="23" t="s">
        <v>42</v>
      </c>
      <c r="B1" s="22"/>
      <c r="C1" s="342" t="s">
        <v>38</v>
      </c>
      <c r="D1" s="22"/>
      <c r="E1" s="22"/>
      <c r="F1" s="22"/>
      <c r="G1" s="22"/>
      <c r="H1" s="22"/>
      <c r="I1" s="22"/>
      <c r="J1" s="22"/>
      <c r="K1" s="22"/>
      <c r="L1" s="22"/>
      <c r="M1" s="22"/>
      <c r="O1" s="1"/>
    </row>
    <row r="2" spans="1:55" ht="15.75" customHeight="1">
      <c r="A2" s="376"/>
      <c r="B2" s="22"/>
      <c r="C2" s="22"/>
      <c r="D2" s="22"/>
      <c r="E2" s="22"/>
      <c r="F2" s="22"/>
      <c r="G2" s="22"/>
      <c r="H2" s="342"/>
      <c r="I2" s="342"/>
      <c r="J2" s="341"/>
      <c r="K2" s="341"/>
      <c r="L2" s="341"/>
      <c r="M2" s="22"/>
      <c r="N2" s="37"/>
      <c r="O2" s="1707" t="s">
        <v>414</v>
      </c>
      <c r="P2" s="1708"/>
      <c r="R2" s="1707" t="s">
        <v>413</v>
      </c>
      <c r="S2" s="1709"/>
      <c r="T2" s="1709"/>
      <c r="U2" s="1708"/>
      <c r="W2" s="393" t="s">
        <v>412</v>
      </c>
      <c r="X2" s="392"/>
      <c r="Y2" s="392"/>
      <c r="Z2" s="392"/>
      <c r="AA2" s="392"/>
      <c r="AB2" s="391"/>
      <c r="AC2" s="1702" t="s">
        <v>384</v>
      </c>
      <c r="AD2" s="1703"/>
      <c r="AE2" s="393" t="s">
        <v>411</v>
      </c>
      <c r="AF2" s="392"/>
      <c r="AG2" s="392"/>
      <c r="AH2" s="392"/>
      <c r="AI2" s="392"/>
      <c r="AJ2" s="391"/>
      <c r="AK2" s="1702" t="s">
        <v>382</v>
      </c>
      <c r="AL2" s="1703"/>
      <c r="AM2" s="393" t="s">
        <v>410</v>
      </c>
      <c r="AN2" s="392"/>
      <c r="AO2" s="392"/>
      <c r="AP2" s="392"/>
      <c r="AQ2" s="392"/>
      <c r="AR2" s="391"/>
      <c r="AS2" s="1702" t="s">
        <v>381</v>
      </c>
      <c r="AT2" s="1703"/>
      <c r="AU2" s="1"/>
      <c r="AV2" s="1"/>
    </row>
    <row r="3" spans="1:55" ht="40.950000000000003" customHeight="1">
      <c r="A3" s="1706" t="s">
        <v>409</v>
      </c>
      <c r="B3" s="1706"/>
      <c r="C3" s="1706"/>
      <c r="D3" s="1706"/>
      <c r="E3" s="1706"/>
      <c r="F3" s="1706"/>
      <c r="G3" s="1706"/>
      <c r="H3" s="1706"/>
      <c r="I3" s="1706"/>
      <c r="J3" s="1706"/>
      <c r="K3" s="1706"/>
      <c r="L3" s="1706"/>
      <c r="M3" s="340"/>
      <c r="N3" s="37"/>
      <c r="O3" s="388" t="s">
        <v>31</v>
      </c>
      <c r="P3" s="388" t="s">
        <v>30</v>
      </c>
      <c r="R3" s="387" t="s">
        <v>31</v>
      </c>
      <c r="S3" s="386" t="s">
        <v>29</v>
      </c>
      <c r="T3" s="386" t="s">
        <v>116</v>
      </c>
      <c r="U3" s="385" t="s">
        <v>27</v>
      </c>
      <c r="W3" s="383" t="s">
        <v>408</v>
      </c>
      <c r="X3" s="383" t="s">
        <v>407</v>
      </c>
      <c r="Y3" s="384" t="s">
        <v>30</v>
      </c>
      <c r="Z3" s="383" t="s">
        <v>406</v>
      </c>
      <c r="AA3" s="383" t="s">
        <v>405</v>
      </c>
      <c r="AB3" s="382" t="s">
        <v>404</v>
      </c>
      <c r="AC3" s="381" t="s">
        <v>403</v>
      </c>
      <c r="AD3" s="380" t="s">
        <v>402</v>
      </c>
      <c r="AE3" s="383" t="s">
        <v>408</v>
      </c>
      <c r="AF3" s="383" t="s">
        <v>407</v>
      </c>
      <c r="AG3" s="384" t="s">
        <v>30</v>
      </c>
      <c r="AH3" s="383" t="s">
        <v>406</v>
      </c>
      <c r="AI3" s="383" t="s">
        <v>405</v>
      </c>
      <c r="AJ3" s="382" t="s">
        <v>404</v>
      </c>
      <c r="AK3" s="381" t="s">
        <v>403</v>
      </c>
      <c r="AL3" s="380" t="s">
        <v>402</v>
      </c>
      <c r="AM3" s="383" t="s">
        <v>408</v>
      </c>
      <c r="AN3" s="383" t="s">
        <v>407</v>
      </c>
      <c r="AO3" s="384" t="s">
        <v>30</v>
      </c>
      <c r="AP3" s="383" t="s">
        <v>406</v>
      </c>
      <c r="AQ3" s="383" t="s">
        <v>405</v>
      </c>
      <c r="AR3" s="382" t="s">
        <v>404</v>
      </c>
      <c r="AS3" s="381" t="s">
        <v>403</v>
      </c>
      <c r="AT3" s="380" t="s">
        <v>402</v>
      </c>
      <c r="AU3" s="1"/>
      <c r="AV3" s="1"/>
    </row>
    <row r="4" spans="1:55" ht="15.6" customHeight="1">
      <c r="A4" s="1692" t="s">
        <v>401</v>
      </c>
      <c r="B4" s="1692"/>
      <c r="C4" s="1692"/>
      <c r="D4" s="1692"/>
      <c r="E4" s="1692"/>
      <c r="F4" s="1692"/>
      <c r="G4" s="1692"/>
      <c r="H4" s="1692"/>
      <c r="I4" s="1692"/>
      <c r="J4" s="1692"/>
      <c r="K4" s="1692"/>
      <c r="L4" s="1692"/>
      <c r="M4" s="340"/>
      <c r="N4" s="37"/>
      <c r="O4" s="378">
        <v>2016</v>
      </c>
      <c r="P4" s="377">
        <v>16000</v>
      </c>
      <c r="R4" s="370">
        <v>2016</v>
      </c>
      <c r="S4" s="355">
        <v>0</v>
      </c>
      <c r="T4" s="355">
        <v>12</v>
      </c>
      <c r="U4" s="368">
        <v>1100</v>
      </c>
      <c r="W4" s="369">
        <v>0</v>
      </c>
      <c r="X4" s="369">
        <v>0.11856302654407158</v>
      </c>
      <c r="Y4" s="368">
        <v>16000</v>
      </c>
      <c r="Z4" s="367">
        <v>1095.7691648749294</v>
      </c>
      <c r="AA4" s="364">
        <v>6603.3638473938681</v>
      </c>
      <c r="AB4" s="358">
        <v>1.6335526157623025E-2</v>
      </c>
      <c r="AC4" s="366">
        <f t="shared" ref="AC4:AC39" si="0">$T4</f>
        <v>12</v>
      </c>
      <c r="AD4" s="365">
        <f t="shared" ref="AD4:AD39" si="1">($U4-Z4)/SQRT(AB$42*Z4)</f>
        <v>9.6508014345251074E-3</v>
      </c>
      <c r="AE4" s="369">
        <v>0</v>
      </c>
      <c r="AF4" s="369">
        <v>0.10838898776216656</v>
      </c>
      <c r="AG4" s="368">
        <v>16000</v>
      </c>
      <c r="AH4" s="367">
        <v>1005.9196037655349</v>
      </c>
      <c r="AI4" s="364">
        <v>6599.1035700397879</v>
      </c>
      <c r="AJ4" s="358">
        <v>8.7990341598880057</v>
      </c>
      <c r="AK4" s="366">
        <f t="shared" ref="AK4:AK39" si="2">$T4</f>
        <v>12</v>
      </c>
      <c r="AL4" s="365">
        <f t="shared" ref="AL4:AL39" si="3">($U4-AH4)/SQRT(AJ$42*AH4)</f>
        <v>0.25594753573193568</v>
      </c>
      <c r="AM4" s="369">
        <v>0</v>
      </c>
      <c r="AN4" s="369">
        <v>9.6340007955764695E-2</v>
      </c>
      <c r="AO4" s="368">
        <v>16000</v>
      </c>
      <c r="AP4" s="367">
        <v>942.99430987273865</v>
      </c>
      <c r="AQ4" s="364">
        <v>6590.9719635279125</v>
      </c>
      <c r="AR4" s="358">
        <v>26.140970814197541</v>
      </c>
      <c r="AS4" s="366">
        <f t="shared" ref="AS4:AS39" si="4">$T4</f>
        <v>12</v>
      </c>
      <c r="AT4" s="365">
        <f t="shared" ref="AT4:AT39" si="5">($U4-AP4)/SQRT(AR$42*AP4)</f>
        <v>0.45906308870227858</v>
      </c>
      <c r="AU4" s="1"/>
      <c r="AV4" s="1"/>
      <c r="AZ4" s="1"/>
      <c r="BA4" s="1"/>
      <c r="BB4" s="1"/>
      <c r="BC4" s="1"/>
    </row>
    <row r="5" spans="1:55">
      <c r="A5" s="379" t="s">
        <v>400</v>
      </c>
      <c r="B5" s="340"/>
      <c r="C5" s="340"/>
      <c r="D5" s="340"/>
      <c r="E5" s="340"/>
      <c r="F5" s="340"/>
      <c r="G5" s="340"/>
      <c r="H5" s="340"/>
      <c r="I5" s="340"/>
      <c r="J5" s="340"/>
      <c r="K5" s="340"/>
      <c r="L5" s="340"/>
      <c r="M5" s="340"/>
      <c r="N5" s="37"/>
      <c r="O5" s="378">
        <v>2017</v>
      </c>
      <c r="P5" s="377">
        <v>16000</v>
      </c>
      <c r="R5" s="370">
        <v>2016</v>
      </c>
      <c r="S5" s="355">
        <v>12</v>
      </c>
      <c r="T5" s="355">
        <v>24</v>
      </c>
      <c r="U5" s="368">
        <v>3800</v>
      </c>
      <c r="W5" s="369">
        <v>0.11856302654407158</v>
      </c>
      <c r="X5" s="369">
        <v>0.50447424095860949</v>
      </c>
      <c r="Y5" s="368">
        <v>16000</v>
      </c>
      <c r="Z5" s="367">
        <v>3566.6229301063036</v>
      </c>
      <c r="AA5" s="364">
        <v>27515.000052548497</v>
      </c>
      <c r="AB5" s="358">
        <v>15.270707843103544</v>
      </c>
      <c r="AC5" s="366">
        <f t="shared" si="0"/>
        <v>24</v>
      </c>
      <c r="AD5" s="365">
        <f t="shared" si="1"/>
        <v>0.29507091307735639</v>
      </c>
      <c r="AE5" s="369">
        <v>0.10838898776216656</v>
      </c>
      <c r="AF5" s="369">
        <v>0.51791977640599629</v>
      </c>
      <c r="AG5" s="368">
        <v>16000</v>
      </c>
      <c r="AH5" s="367">
        <v>3800.7094368878511</v>
      </c>
      <c r="AI5" s="364">
        <v>27522.474047499476</v>
      </c>
      <c r="AJ5" s="358">
        <v>1.3242282952731334E-4</v>
      </c>
      <c r="AK5" s="366">
        <f t="shared" si="2"/>
        <v>24</v>
      </c>
      <c r="AL5" s="365">
        <f t="shared" si="3"/>
        <v>-9.9292142600566923E-4</v>
      </c>
      <c r="AM5" s="369">
        <v>9.6340007955764695E-2</v>
      </c>
      <c r="AN5" s="369">
        <v>0.50574592532532758</v>
      </c>
      <c r="AO5" s="368">
        <v>16000</v>
      </c>
      <c r="AP5" s="367">
        <v>4007.3429377854363</v>
      </c>
      <c r="AQ5" s="364">
        <v>27517.015090473793</v>
      </c>
      <c r="AR5" s="358">
        <v>10.728079557187421</v>
      </c>
      <c r="AS5" s="366">
        <f t="shared" si="4"/>
        <v>24</v>
      </c>
      <c r="AT5" s="365">
        <f t="shared" si="5"/>
        <v>-0.29408475449814403</v>
      </c>
      <c r="AU5" s="1"/>
      <c r="AV5" s="1"/>
    </row>
    <row r="6" spans="1:55" ht="16.2">
      <c r="A6" s="379" t="s">
        <v>399</v>
      </c>
      <c r="B6" s="22"/>
      <c r="C6" s="22"/>
      <c r="D6" s="22"/>
      <c r="E6" s="22"/>
      <c r="F6" s="22"/>
      <c r="G6" s="22"/>
      <c r="H6" s="342"/>
      <c r="I6" s="342"/>
      <c r="J6" s="341"/>
      <c r="K6" s="341"/>
      <c r="L6" s="341"/>
      <c r="M6" s="22"/>
      <c r="N6" s="37"/>
      <c r="O6" s="378">
        <v>2018</v>
      </c>
      <c r="P6" s="377">
        <v>17000</v>
      </c>
      <c r="R6" s="370">
        <v>2016</v>
      </c>
      <c r="S6" s="355">
        <v>24</v>
      </c>
      <c r="T6" s="355">
        <v>36</v>
      </c>
      <c r="U6" s="368">
        <v>1800</v>
      </c>
      <c r="W6" s="369">
        <v>0.50447424095860949</v>
      </c>
      <c r="X6" s="369">
        <v>0.78976374297441032</v>
      </c>
      <c r="Y6" s="368">
        <v>16000</v>
      </c>
      <c r="Z6" s="367">
        <v>2636.6688543939658</v>
      </c>
      <c r="AA6" s="364">
        <v>11542.420028891882</v>
      </c>
      <c r="AB6" s="358">
        <v>265.49210787177464</v>
      </c>
      <c r="AC6" s="366">
        <f t="shared" si="0"/>
        <v>36</v>
      </c>
      <c r="AD6" s="365">
        <f t="shared" si="1"/>
        <v>-1.2303328622471048</v>
      </c>
      <c r="AE6" s="369">
        <v>0.51791977640599629</v>
      </c>
      <c r="AF6" s="369">
        <v>0.79047954769088469</v>
      </c>
      <c r="AG6" s="368">
        <v>16000</v>
      </c>
      <c r="AH6" s="367">
        <v>2529.5301930019555</v>
      </c>
      <c r="AI6" s="364">
        <v>11574.889773020695</v>
      </c>
      <c r="AJ6" s="358">
        <v>210.40045458791604</v>
      </c>
      <c r="AK6" s="366">
        <f t="shared" si="2"/>
        <v>36</v>
      </c>
      <c r="AL6" s="365">
        <f t="shared" si="3"/>
        <v>-1.2515747347174269</v>
      </c>
      <c r="AM6" s="369">
        <v>0.50574592532532758</v>
      </c>
      <c r="AN6" s="369">
        <v>0.74546076862479105</v>
      </c>
      <c r="AO6" s="368">
        <v>16000</v>
      </c>
      <c r="AP6" s="367">
        <v>2346.374450448684</v>
      </c>
      <c r="AQ6" s="364">
        <v>11622.753481343976</v>
      </c>
      <c r="AR6" s="358">
        <v>127.22821800502311</v>
      </c>
      <c r="AS6" s="366">
        <f t="shared" si="4"/>
        <v>36</v>
      </c>
      <c r="AT6" s="365">
        <f t="shared" si="5"/>
        <v>-1.0127523054278234</v>
      </c>
      <c r="AU6" s="1"/>
      <c r="AV6" s="1"/>
    </row>
    <row r="7" spans="1:55" ht="16.2">
      <c r="A7" s="379" t="s">
        <v>398</v>
      </c>
      <c r="B7" s="22"/>
      <c r="C7" s="22"/>
      <c r="D7" s="22"/>
      <c r="E7" s="22"/>
      <c r="F7" s="22"/>
      <c r="G7" s="22"/>
      <c r="H7" s="342"/>
      <c r="I7" s="342"/>
      <c r="J7" s="341"/>
      <c r="K7" s="341"/>
      <c r="L7" s="341"/>
      <c r="M7" s="22"/>
      <c r="N7" s="37"/>
      <c r="O7" s="378">
        <v>2019</v>
      </c>
      <c r="P7" s="377">
        <v>18000</v>
      </c>
      <c r="R7" s="370">
        <v>2016</v>
      </c>
      <c r="S7" s="355">
        <v>36</v>
      </c>
      <c r="T7" s="355">
        <v>48</v>
      </c>
      <c r="U7" s="368">
        <v>1500</v>
      </c>
      <c r="W7" s="369">
        <v>0.78976374297441032</v>
      </c>
      <c r="X7" s="369">
        <v>0.92849471781397375</v>
      </c>
      <c r="Y7" s="368">
        <v>16000</v>
      </c>
      <c r="Z7" s="367">
        <v>1282.1629885243044</v>
      </c>
      <c r="AA7" s="364">
        <v>9452.2926597765545</v>
      </c>
      <c r="AB7" s="358">
        <v>37.010086855866859</v>
      </c>
      <c r="AC7" s="366">
        <f t="shared" si="0"/>
        <v>48</v>
      </c>
      <c r="AD7" s="365">
        <f t="shared" si="1"/>
        <v>0.45936390657449205</v>
      </c>
      <c r="AE7" s="369">
        <v>0.79047954769088469</v>
      </c>
      <c r="AF7" s="369">
        <v>0.91786406136248333</v>
      </c>
      <c r="AG7" s="368">
        <v>16000</v>
      </c>
      <c r="AH7" s="367">
        <v>1182.2103164167288</v>
      </c>
      <c r="AI7" s="364">
        <v>9430.5013557961265</v>
      </c>
      <c r="AJ7" s="358">
        <v>85.424971842621432</v>
      </c>
      <c r="AK7" s="366">
        <f t="shared" si="2"/>
        <v>48</v>
      </c>
      <c r="AL7" s="365">
        <f t="shared" si="3"/>
        <v>0.79749115099903067</v>
      </c>
      <c r="AM7" s="369">
        <v>0.74546076862479105</v>
      </c>
      <c r="AN7" s="369">
        <v>0.85410840233633356</v>
      </c>
      <c r="AO7" s="368">
        <v>16000</v>
      </c>
      <c r="AP7" s="367">
        <v>1063.4636901645758</v>
      </c>
      <c r="AQ7" s="364">
        <v>9390.4660481776955</v>
      </c>
      <c r="AR7" s="358">
        <v>179.19177830626148</v>
      </c>
      <c r="AS7" s="366">
        <f t="shared" si="4"/>
        <v>48</v>
      </c>
      <c r="AT7" s="365">
        <f t="shared" si="5"/>
        <v>1.2019061516920049</v>
      </c>
      <c r="AU7" s="1"/>
      <c r="AV7" s="1"/>
    </row>
    <row r="8" spans="1:55" ht="16.2">
      <c r="A8" s="379"/>
      <c r="B8" s="22"/>
      <c r="C8" s="22"/>
      <c r="D8" s="22"/>
      <c r="E8" s="22"/>
      <c r="F8" s="22"/>
      <c r="G8" s="22"/>
      <c r="H8" s="342"/>
      <c r="I8" s="342"/>
      <c r="J8" s="341"/>
      <c r="K8" s="341"/>
      <c r="L8" s="341"/>
      <c r="M8" s="22"/>
      <c r="N8" s="37"/>
      <c r="O8" s="378">
        <v>2020</v>
      </c>
      <c r="P8" s="377">
        <v>20000</v>
      </c>
      <c r="R8" s="370">
        <v>2016</v>
      </c>
      <c r="S8" s="355">
        <v>48</v>
      </c>
      <c r="T8" s="355">
        <v>60</v>
      </c>
      <c r="U8" s="368">
        <v>300</v>
      </c>
      <c r="W8" s="369">
        <v>0.92849471781397375</v>
      </c>
      <c r="X8" s="369">
        <v>0.97988726295831996</v>
      </c>
      <c r="Y8" s="368">
        <v>16000</v>
      </c>
      <c r="Z8" s="367">
        <v>474.97409534062882</v>
      </c>
      <c r="AA8" s="364">
        <v>1374.0039845861215</v>
      </c>
      <c r="AB8" s="358">
        <v>64.458113275241203</v>
      </c>
      <c r="AC8" s="366">
        <f t="shared" si="0"/>
        <v>60</v>
      </c>
      <c r="AD8" s="365">
        <f t="shared" si="1"/>
        <v>-0.60622746913267123</v>
      </c>
      <c r="AE8" s="369">
        <v>0.91786406136248333</v>
      </c>
      <c r="AF8" s="369">
        <v>0.96968027486078112</v>
      </c>
      <c r="AG8" s="368">
        <v>16000</v>
      </c>
      <c r="AH8" s="367">
        <v>480.88782843151267</v>
      </c>
      <c r="AI8" s="364">
        <v>1371.8023829640397</v>
      </c>
      <c r="AJ8" s="358">
        <v>68.041660736955748</v>
      </c>
      <c r="AK8" s="366">
        <f t="shared" si="2"/>
        <v>60</v>
      </c>
      <c r="AL8" s="365">
        <f t="shared" si="3"/>
        <v>-0.7117392284978652</v>
      </c>
      <c r="AM8" s="369">
        <v>0.85410840233633356</v>
      </c>
      <c r="AN8" s="369">
        <v>0.90758843834482439</v>
      </c>
      <c r="AO8" s="368">
        <v>16000</v>
      </c>
      <c r="AP8" s="367">
        <v>523.47275776593244</v>
      </c>
      <c r="AQ8" s="364">
        <v>1354.6727393255737</v>
      </c>
      <c r="AR8" s="358">
        <v>95.401475478197682</v>
      </c>
      <c r="AS8" s="366">
        <f t="shared" si="4"/>
        <v>60</v>
      </c>
      <c r="AT8" s="365">
        <f t="shared" si="5"/>
        <v>-0.87697873775282609</v>
      </c>
      <c r="AU8" s="1"/>
      <c r="AV8" s="1"/>
    </row>
    <row r="9" spans="1:55">
      <c r="A9" s="1692" t="s">
        <v>397</v>
      </c>
      <c r="B9" s="1692"/>
      <c r="C9" s="1692"/>
      <c r="D9" s="1692"/>
      <c r="E9" s="1692"/>
      <c r="F9" s="1692"/>
      <c r="G9" s="1692"/>
      <c r="H9" s="1692"/>
      <c r="I9" s="1692"/>
      <c r="J9" s="1692"/>
      <c r="K9" s="1692"/>
      <c r="L9" s="1692"/>
      <c r="M9" s="22"/>
      <c r="N9" s="37"/>
      <c r="O9" s="378">
        <v>2021</v>
      </c>
      <c r="P9" s="377">
        <v>22000</v>
      </c>
      <c r="R9" s="370">
        <v>2016</v>
      </c>
      <c r="S9" s="355">
        <v>60</v>
      </c>
      <c r="T9" s="355">
        <v>72</v>
      </c>
      <c r="U9" s="368">
        <v>500</v>
      </c>
      <c r="W9" s="369">
        <v>0.97988726295831996</v>
      </c>
      <c r="X9" s="369">
        <v>0.99522656043900604</v>
      </c>
      <c r="Y9" s="368">
        <v>16000</v>
      </c>
      <c r="Z9" s="367">
        <v>141.7670388494308</v>
      </c>
      <c r="AA9" s="364">
        <v>2335.3255306042283</v>
      </c>
      <c r="AB9" s="358">
        <v>905.2234955052138</v>
      </c>
      <c r="AC9" s="366">
        <f t="shared" si="0"/>
        <v>72</v>
      </c>
      <c r="AD9" s="365">
        <f t="shared" si="1"/>
        <v>2.2718242200195906</v>
      </c>
      <c r="AE9" s="369">
        <v>0.96968027486078112</v>
      </c>
      <c r="AF9" s="369">
        <v>0.98924010525432049</v>
      </c>
      <c r="AG9" s="368">
        <v>16000</v>
      </c>
      <c r="AH9" s="367">
        <v>181.52782164885215</v>
      </c>
      <c r="AI9" s="364">
        <v>2419.1766429906997</v>
      </c>
      <c r="AJ9" s="358">
        <v>558.72718276717467</v>
      </c>
      <c r="AK9" s="366">
        <f t="shared" si="2"/>
        <v>72</v>
      </c>
      <c r="AL9" s="365">
        <f t="shared" si="3"/>
        <v>2.0395452777336733</v>
      </c>
      <c r="AM9" s="369">
        <v>0.90758843834482439</v>
      </c>
      <c r="AN9" s="369">
        <v>0.93688668921408458</v>
      </c>
      <c r="AO9" s="368">
        <v>16000</v>
      </c>
      <c r="AP9" s="367">
        <v>286.77684842648171</v>
      </c>
      <c r="AQ9" s="364">
        <v>2542.5753424285635</v>
      </c>
      <c r="AR9" s="358">
        <v>158.53480717289759</v>
      </c>
      <c r="AS9" s="366">
        <f t="shared" si="4"/>
        <v>72</v>
      </c>
      <c r="AT9" s="365">
        <f t="shared" si="5"/>
        <v>1.1305085016117558</v>
      </c>
      <c r="AU9" s="1"/>
      <c r="AV9" s="1"/>
    </row>
    <row r="10" spans="1:55" ht="16.2">
      <c r="A10" s="376"/>
      <c r="B10" s="22"/>
      <c r="C10" s="22"/>
      <c r="D10" s="22"/>
      <c r="E10" s="22"/>
      <c r="F10" s="22"/>
      <c r="G10" s="22"/>
      <c r="H10" s="342"/>
      <c r="I10" s="342"/>
      <c r="J10" s="341"/>
      <c r="K10" s="341"/>
      <c r="L10" s="341"/>
      <c r="M10" s="22"/>
      <c r="N10" s="37"/>
      <c r="O10" s="378">
        <v>2022</v>
      </c>
      <c r="P10" s="377">
        <v>25000</v>
      </c>
      <c r="R10" s="370">
        <v>2016</v>
      </c>
      <c r="S10" s="355">
        <v>72</v>
      </c>
      <c r="T10" s="355">
        <v>84</v>
      </c>
      <c r="U10" s="368">
        <v>200</v>
      </c>
      <c r="W10" s="369">
        <v>0.99522656043900604</v>
      </c>
      <c r="X10" s="369">
        <v>0.99903019880834254</v>
      </c>
      <c r="Y10" s="368">
        <v>16000</v>
      </c>
      <c r="Z10" s="367">
        <v>35.153536148175391</v>
      </c>
      <c r="AA10" s="364">
        <v>676.79150682217016</v>
      </c>
      <c r="AB10" s="358">
        <v>773.01915033265789</v>
      </c>
      <c r="AC10" s="366">
        <f t="shared" si="0"/>
        <v>84</v>
      </c>
      <c r="AD10" s="365">
        <f t="shared" si="1"/>
        <v>2.0993842895599468</v>
      </c>
      <c r="AE10" s="369">
        <v>0.98924010525432049</v>
      </c>
      <c r="AF10" s="369">
        <v>0.99628625999948506</v>
      </c>
      <c r="AG10" s="368">
        <v>16000</v>
      </c>
      <c r="AH10" s="367">
        <v>65.392853422334682</v>
      </c>
      <c r="AI10" s="364">
        <v>770.689742098539</v>
      </c>
      <c r="AJ10" s="358">
        <v>277.08049062732249</v>
      </c>
      <c r="AK10" s="366">
        <f t="shared" si="2"/>
        <v>84</v>
      </c>
      <c r="AL10" s="365">
        <f t="shared" si="3"/>
        <v>1.4362711090733247</v>
      </c>
      <c r="AM10" s="369">
        <v>0.93688668921408458</v>
      </c>
      <c r="AN10" s="369">
        <v>0.95441503733637578</v>
      </c>
      <c r="AO10" s="368">
        <v>16000</v>
      </c>
      <c r="AP10" s="367">
        <v>171.57080315354131</v>
      </c>
      <c r="AQ10" s="364">
        <v>857.42840240340104</v>
      </c>
      <c r="AR10" s="358">
        <v>4.7107037938815806</v>
      </c>
      <c r="AS10" s="366">
        <f t="shared" si="4"/>
        <v>84</v>
      </c>
      <c r="AT10" s="365">
        <f t="shared" si="5"/>
        <v>0.19487423205414511</v>
      </c>
      <c r="AU10" s="1"/>
      <c r="AV10" s="1"/>
    </row>
    <row r="11" spans="1:55">
      <c r="A11" s="22" t="s">
        <v>80</v>
      </c>
      <c r="B11" s="22" t="s">
        <v>396</v>
      </c>
      <c r="C11" s="22"/>
      <c r="D11" s="22"/>
      <c r="E11" s="22"/>
      <c r="F11" s="22"/>
      <c r="G11" s="22"/>
      <c r="H11" s="22"/>
      <c r="I11" s="22"/>
      <c r="J11" s="22"/>
      <c r="K11" s="22"/>
      <c r="L11" s="22"/>
      <c r="M11" s="22"/>
      <c r="N11" s="37"/>
      <c r="O11" s="378">
        <v>2023</v>
      </c>
      <c r="P11" s="377">
        <v>28000</v>
      </c>
      <c r="R11" s="370">
        <v>2016</v>
      </c>
      <c r="S11" s="355">
        <v>84</v>
      </c>
      <c r="T11" s="355">
        <v>96</v>
      </c>
      <c r="U11" s="368">
        <v>0</v>
      </c>
      <c r="W11" s="369">
        <v>0.99903019880834254</v>
      </c>
      <c r="X11" s="369">
        <v>0.99982946340960577</v>
      </c>
      <c r="Y11" s="368">
        <v>16000</v>
      </c>
      <c r="Z11" s="367">
        <v>7.386868656855258</v>
      </c>
      <c r="AA11" s="364">
        <v>-7.386868656855258</v>
      </c>
      <c r="AB11" s="358">
        <v>7.386868656855258</v>
      </c>
      <c r="AC11" s="366">
        <f t="shared" si="0"/>
        <v>96</v>
      </c>
      <c r="AD11" s="365">
        <f t="shared" si="1"/>
        <v>-0.20522345977550371</v>
      </c>
      <c r="AE11" s="369">
        <v>0.99628625999948506</v>
      </c>
      <c r="AF11" s="369">
        <v>0.99874445904684217</v>
      </c>
      <c r="AG11" s="368">
        <v>16000</v>
      </c>
      <c r="AH11" s="367">
        <v>22.813670122283416</v>
      </c>
      <c r="AI11" s="364">
        <v>-22.813670122283416</v>
      </c>
      <c r="AJ11" s="358">
        <v>22.813670122283416</v>
      </c>
      <c r="AK11" s="366">
        <f t="shared" si="2"/>
        <v>96</v>
      </c>
      <c r="AL11" s="365">
        <f t="shared" si="3"/>
        <v>-0.41212696362202578</v>
      </c>
      <c r="AM11" s="369">
        <v>0.95441503733637578</v>
      </c>
      <c r="AN11" s="369">
        <v>0.96564675935615263</v>
      </c>
      <c r="AO11" s="368">
        <v>16000</v>
      </c>
      <c r="AP11" s="367">
        <v>109.93823001950612</v>
      </c>
      <c r="AQ11" s="364">
        <v>-109.93823001950612</v>
      </c>
      <c r="AR11" s="358">
        <v>109.93823001950612</v>
      </c>
      <c r="AS11" s="366">
        <f t="shared" si="4"/>
        <v>96</v>
      </c>
      <c r="AT11" s="365">
        <f t="shared" si="5"/>
        <v>-0.94142535029363394</v>
      </c>
      <c r="AU11" s="1"/>
      <c r="AV11" s="1"/>
    </row>
    <row r="12" spans="1:55" ht="16.2">
      <c r="A12" s="342"/>
      <c r="B12" s="342" t="s">
        <v>64</v>
      </c>
      <c r="C12" s="342"/>
      <c r="D12" s="341"/>
      <c r="E12" s="341"/>
      <c r="F12" s="22"/>
      <c r="G12" s="22"/>
      <c r="H12" s="22"/>
      <c r="I12" s="22"/>
      <c r="J12" s="22"/>
      <c r="K12" s="22"/>
      <c r="L12" s="22"/>
      <c r="M12" s="22"/>
      <c r="N12" s="37"/>
      <c r="R12" s="370">
        <v>2017</v>
      </c>
      <c r="S12" s="355">
        <v>0</v>
      </c>
      <c r="T12" s="355">
        <v>12</v>
      </c>
      <c r="U12" s="368">
        <v>1300</v>
      </c>
      <c r="W12" s="369">
        <v>0</v>
      </c>
      <c r="X12" s="369">
        <v>0.11856302654407158</v>
      </c>
      <c r="Y12" s="368">
        <v>16000</v>
      </c>
      <c r="Z12" s="367">
        <v>1095.7691648749294</v>
      </c>
      <c r="AA12" s="364">
        <v>8003.2062132609226</v>
      </c>
      <c r="AB12" s="358">
        <v>38.064799916727495</v>
      </c>
      <c r="AC12" s="366">
        <f t="shared" si="0"/>
        <v>12</v>
      </c>
      <c r="AD12" s="365">
        <f t="shared" si="1"/>
        <v>0.46586340009323873</v>
      </c>
      <c r="AE12" s="369">
        <v>0</v>
      </c>
      <c r="AF12" s="369">
        <v>0.10838898776216656</v>
      </c>
      <c r="AG12" s="368">
        <v>16000</v>
      </c>
      <c r="AH12" s="367">
        <v>1005.9196037655349</v>
      </c>
      <c r="AI12" s="364">
        <v>7981.8350561862098</v>
      </c>
      <c r="AJ12" s="358">
        <v>85.97434539070575</v>
      </c>
      <c r="AK12" s="366">
        <f t="shared" si="2"/>
        <v>12</v>
      </c>
      <c r="AL12" s="365">
        <f t="shared" si="3"/>
        <v>0.80005140003554454</v>
      </c>
      <c r="AM12" s="369">
        <v>0</v>
      </c>
      <c r="AN12" s="369">
        <v>9.6340007955764695E-2</v>
      </c>
      <c r="AO12" s="368">
        <v>16000</v>
      </c>
      <c r="AP12" s="367">
        <v>942.99430987273865</v>
      </c>
      <c r="AQ12" s="364">
        <v>7960.7840132371211</v>
      </c>
      <c r="AR12" s="358">
        <v>135.15782804717296</v>
      </c>
      <c r="AS12" s="366">
        <f t="shared" si="4"/>
        <v>12</v>
      </c>
      <c r="AT12" s="365">
        <f t="shared" si="5"/>
        <v>1.0438356384489584</v>
      </c>
      <c r="AU12" s="1"/>
      <c r="AV12" s="1"/>
    </row>
    <row r="13" spans="1:55">
      <c r="A13" s="1705" t="s">
        <v>395</v>
      </c>
      <c r="B13" s="1705"/>
      <c r="C13" s="1705"/>
      <c r="D13" s="1705"/>
      <c r="E13" s="1705"/>
      <c r="F13" s="1705"/>
      <c r="G13" s="1705"/>
      <c r="H13" s="1705"/>
      <c r="I13" s="1705"/>
      <c r="J13" s="1705"/>
      <c r="K13" s="1705"/>
      <c r="L13" s="1705"/>
      <c r="M13" s="1705"/>
      <c r="N13" s="37"/>
      <c r="R13" s="370">
        <v>2017</v>
      </c>
      <c r="S13" s="355">
        <v>12</v>
      </c>
      <c r="T13" s="355">
        <v>24</v>
      </c>
      <c r="U13" s="368">
        <v>3400</v>
      </c>
      <c r="W13" s="369">
        <v>0.11856302654407158</v>
      </c>
      <c r="X13" s="369">
        <v>0.50447424095860949</v>
      </c>
      <c r="Y13" s="368">
        <v>16000</v>
      </c>
      <c r="Z13" s="367">
        <v>3566.6229301063036</v>
      </c>
      <c r="AA13" s="364">
        <v>24243.250264900624</v>
      </c>
      <c r="AB13" s="358">
        <v>7.7841704551545163</v>
      </c>
      <c r="AC13" s="366">
        <f t="shared" si="0"/>
        <v>24</v>
      </c>
      <c r="AD13" s="365">
        <f t="shared" si="1"/>
        <v>-0.21067014059473158</v>
      </c>
      <c r="AE13" s="369">
        <v>0.10838898776216656</v>
      </c>
      <c r="AF13" s="369">
        <v>0.51791977640599629</v>
      </c>
      <c r="AG13" s="368">
        <v>16000</v>
      </c>
      <c r="AH13" s="367">
        <v>3800.7094368878511</v>
      </c>
      <c r="AI13" s="364">
        <v>24225.296838616599</v>
      </c>
      <c r="AJ13" s="358">
        <v>42.246863507265964</v>
      </c>
      <c r="AK13" s="366">
        <f t="shared" si="2"/>
        <v>24</v>
      </c>
      <c r="AL13" s="365">
        <f t="shared" si="3"/>
        <v>-0.56082928911940455</v>
      </c>
      <c r="AM13" s="369">
        <v>9.6340007955764695E-2</v>
      </c>
      <c r="AN13" s="369">
        <v>0.50574592532532758</v>
      </c>
      <c r="AO13" s="368">
        <v>16000</v>
      </c>
      <c r="AP13" s="367">
        <v>4007.3429377854363</v>
      </c>
      <c r="AQ13" s="364">
        <v>24198.661613814929</v>
      </c>
      <c r="AR13" s="358">
        <v>92.047386461436503</v>
      </c>
      <c r="AS13" s="366">
        <f t="shared" si="4"/>
        <v>24</v>
      </c>
      <c r="AT13" s="365">
        <f t="shared" si="5"/>
        <v>-0.86142455905415027</v>
      </c>
      <c r="AU13" s="1"/>
      <c r="AV13" s="1"/>
    </row>
    <row r="14" spans="1:55">
      <c r="A14" s="1705"/>
      <c r="B14" s="1705"/>
      <c r="C14" s="1705"/>
      <c r="D14" s="1705"/>
      <c r="E14" s="1705"/>
      <c r="F14" s="1705"/>
      <c r="G14" s="1705"/>
      <c r="H14" s="1705"/>
      <c r="I14" s="1705"/>
      <c r="J14" s="1705"/>
      <c r="K14" s="1705"/>
      <c r="L14" s="1705"/>
      <c r="M14" s="1705"/>
      <c r="N14" s="37"/>
      <c r="R14" s="370">
        <v>2017</v>
      </c>
      <c r="S14" s="355">
        <v>24</v>
      </c>
      <c r="T14" s="355">
        <v>36</v>
      </c>
      <c r="U14" s="368">
        <v>2000</v>
      </c>
      <c r="W14" s="369">
        <v>0.50447424095860949</v>
      </c>
      <c r="X14" s="369">
        <v>0.78976374297441032</v>
      </c>
      <c r="Y14" s="368">
        <v>16000</v>
      </c>
      <c r="Z14" s="367">
        <v>2636.6688543939658</v>
      </c>
      <c r="AA14" s="364">
        <v>13117.874349256976</v>
      </c>
      <c r="AB14" s="358">
        <v>153.73459942829768</v>
      </c>
      <c r="AC14" s="366">
        <f t="shared" si="0"/>
        <v>36</v>
      </c>
      <c r="AD14" s="365">
        <f t="shared" si="1"/>
        <v>-0.93623015822371047</v>
      </c>
      <c r="AE14" s="369">
        <v>0.51791977640599629</v>
      </c>
      <c r="AF14" s="369">
        <v>0.79047954769088469</v>
      </c>
      <c r="AG14" s="368">
        <v>16000</v>
      </c>
      <c r="AH14" s="367">
        <v>2529.5301930019555</v>
      </c>
      <c r="AI14" s="364">
        <v>13142.047547023212</v>
      </c>
      <c r="AJ14" s="358">
        <v>110.85150360190677</v>
      </c>
      <c r="AK14" s="366">
        <f t="shared" si="2"/>
        <v>36</v>
      </c>
      <c r="AL14" s="365">
        <f t="shared" si="3"/>
        <v>-0.90845672624479545</v>
      </c>
      <c r="AM14" s="369">
        <v>0.50574592532532758</v>
      </c>
      <c r="AN14" s="369">
        <v>0.74546076862479105</v>
      </c>
      <c r="AO14" s="368">
        <v>16000</v>
      </c>
      <c r="AP14" s="367">
        <v>2346.374450448684</v>
      </c>
      <c r="AQ14" s="364">
        <v>13174.878807098716</v>
      </c>
      <c r="AR14" s="358">
        <v>51.132188172559438</v>
      </c>
      <c r="AS14" s="366">
        <f t="shared" si="4"/>
        <v>36</v>
      </c>
      <c r="AT14" s="365">
        <f t="shared" si="5"/>
        <v>-0.64203500537978897</v>
      </c>
      <c r="AU14" s="1"/>
      <c r="AV14" s="1"/>
    </row>
    <row r="15" spans="1:55">
      <c r="A15" s="22" t="s">
        <v>9</v>
      </c>
      <c r="B15" s="22" t="s">
        <v>394</v>
      </c>
      <c r="C15" s="22"/>
      <c r="D15" s="22"/>
      <c r="E15" s="22"/>
      <c r="F15" s="22"/>
      <c r="G15" s="22"/>
      <c r="H15" s="22"/>
      <c r="I15" s="22"/>
      <c r="J15" s="22"/>
      <c r="K15" s="22"/>
      <c r="L15" s="22"/>
      <c r="M15" s="22"/>
      <c r="N15" s="37"/>
      <c r="R15" s="370">
        <v>2017</v>
      </c>
      <c r="S15" s="355">
        <v>36</v>
      </c>
      <c r="T15" s="355">
        <v>48</v>
      </c>
      <c r="U15" s="368">
        <v>1500</v>
      </c>
      <c r="W15" s="369">
        <v>0.78976374297441032</v>
      </c>
      <c r="X15" s="369">
        <v>0.92849471781397375</v>
      </c>
      <c r="Y15" s="368">
        <v>16000</v>
      </c>
      <c r="Z15" s="367">
        <v>1282.1629885243044</v>
      </c>
      <c r="AA15" s="364">
        <v>9452.2926597765545</v>
      </c>
      <c r="AB15" s="358">
        <v>37.010086855866859</v>
      </c>
      <c r="AC15" s="366">
        <f t="shared" si="0"/>
        <v>48</v>
      </c>
      <c r="AD15" s="365">
        <f t="shared" si="1"/>
        <v>0.45936390657449205</v>
      </c>
      <c r="AE15" s="369">
        <v>0.79047954769088469</v>
      </c>
      <c r="AF15" s="369">
        <v>0.91786406136248333</v>
      </c>
      <c r="AG15" s="368">
        <v>16000</v>
      </c>
      <c r="AH15" s="367">
        <v>1182.2103164167288</v>
      </c>
      <c r="AI15" s="364">
        <v>9430.5013557961265</v>
      </c>
      <c r="AJ15" s="358">
        <v>85.424971842621432</v>
      </c>
      <c r="AK15" s="366">
        <f t="shared" si="2"/>
        <v>48</v>
      </c>
      <c r="AL15" s="365">
        <f t="shared" si="3"/>
        <v>0.79749115099903067</v>
      </c>
      <c r="AM15" s="369">
        <v>0.74546076862479105</v>
      </c>
      <c r="AN15" s="369">
        <v>0.85410840233633356</v>
      </c>
      <c r="AO15" s="368">
        <v>16000</v>
      </c>
      <c r="AP15" s="367">
        <v>1063.4636901645758</v>
      </c>
      <c r="AQ15" s="364">
        <v>9390.4660481776955</v>
      </c>
      <c r="AR15" s="358">
        <v>179.19177830626148</v>
      </c>
      <c r="AS15" s="366">
        <f t="shared" si="4"/>
        <v>48</v>
      </c>
      <c r="AT15" s="365">
        <f t="shared" si="5"/>
        <v>1.2019061516920049</v>
      </c>
      <c r="AU15" s="1"/>
      <c r="AV15" s="1"/>
    </row>
    <row r="16" spans="1:55" ht="16.2">
      <c r="A16" s="342"/>
      <c r="B16" s="342" t="s">
        <v>64</v>
      </c>
      <c r="C16" s="342"/>
      <c r="D16" s="341"/>
      <c r="E16" s="341"/>
      <c r="F16" s="22"/>
      <c r="G16" s="22"/>
      <c r="H16" s="22"/>
      <c r="I16" s="22"/>
      <c r="J16" s="22"/>
      <c r="K16" s="22"/>
      <c r="L16" s="22"/>
      <c r="M16" s="22"/>
      <c r="N16" s="37"/>
      <c r="R16" s="370">
        <v>2017</v>
      </c>
      <c r="S16" s="355">
        <v>48</v>
      </c>
      <c r="T16" s="355">
        <v>60</v>
      </c>
      <c r="U16" s="368">
        <v>600</v>
      </c>
      <c r="W16" s="369">
        <v>0.92849471781397375</v>
      </c>
      <c r="X16" s="369">
        <v>0.97988726295831996</v>
      </c>
      <c r="Y16" s="368">
        <v>16000</v>
      </c>
      <c r="Z16" s="367">
        <v>474.97409534062882</v>
      </c>
      <c r="AA16" s="364">
        <v>3222.9820645128716</v>
      </c>
      <c r="AB16" s="358">
        <v>32.91016707907832</v>
      </c>
      <c r="AC16" s="366">
        <f t="shared" si="0"/>
        <v>60</v>
      </c>
      <c r="AD16" s="365">
        <f t="shared" si="1"/>
        <v>0.43317347982352394</v>
      </c>
      <c r="AE16" s="369">
        <v>0.91786406136248333</v>
      </c>
      <c r="AF16" s="369">
        <v>0.96968027486078112</v>
      </c>
      <c r="AG16" s="368">
        <v>16000</v>
      </c>
      <c r="AH16" s="367">
        <v>480.88782843151267</v>
      </c>
      <c r="AI16" s="364">
        <v>3224.4925943595917</v>
      </c>
      <c r="AJ16" s="358">
        <v>29.503157653284944</v>
      </c>
      <c r="AK16" s="366">
        <f t="shared" si="2"/>
        <v>60</v>
      </c>
      <c r="AL16" s="365">
        <f t="shared" si="3"/>
        <v>0.46867058901621189</v>
      </c>
      <c r="AM16" s="369">
        <v>0.85410840233633356</v>
      </c>
      <c r="AN16" s="369">
        <v>0.90758843834482439</v>
      </c>
      <c r="AO16" s="368">
        <v>16000</v>
      </c>
      <c r="AP16" s="367">
        <v>523.47275776593244</v>
      </c>
      <c r="AQ16" s="364">
        <v>3232.8182364170798</v>
      </c>
      <c r="AR16" s="358">
        <v>11.187628614993397</v>
      </c>
      <c r="AS16" s="366">
        <f t="shared" si="4"/>
        <v>60</v>
      </c>
      <c r="AT16" s="365">
        <f t="shared" si="5"/>
        <v>0.30031743004859635</v>
      </c>
      <c r="AU16" s="1"/>
      <c r="AV16" s="1"/>
    </row>
    <row r="17" spans="1:48">
      <c r="A17" s="1705" t="s">
        <v>393</v>
      </c>
      <c r="B17" s="1705"/>
      <c r="C17" s="1705"/>
      <c r="D17" s="1705"/>
      <c r="E17" s="1705"/>
      <c r="F17" s="1705"/>
      <c r="G17" s="1705"/>
      <c r="H17" s="1705"/>
      <c r="I17" s="1705"/>
      <c r="J17" s="1705"/>
      <c r="K17" s="1705"/>
      <c r="L17" s="1705"/>
      <c r="M17" s="1705"/>
      <c r="N17" s="37"/>
      <c r="R17" s="370">
        <v>2017</v>
      </c>
      <c r="S17" s="355">
        <v>60</v>
      </c>
      <c r="T17" s="355">
        <v>72</v>
      </c>
      <c r="U17" s="368">
        <v>300</v>
      </c>
      <c r="W17" s="369">
        <v>0.97988726295831996</v>
      </c>
      <c r="X17" s="369">
        <v>0.99522656043900604</v>
      </c>
      <c r="Y17" s="368">
        <v>16000</v>
      </c>
      <c r="Z17" s="367">
        <v>141.7670388494308</v>
      </c>
      <c r="AA17" s="364">
        <v>1344.4885028227648</v>
      </c>
      <c r="AB17" s="358">
        <v>176.61136324551273</v>
      </c>
      <c r="AC17" s="366">
        <f t="shared" si="0"/>
        <v>72</v>
      </c>
      <c r="AD17" s="365">
        <f t="shared" si="1"/>
        <v>1.0034740309566037</v>
      </c>
      <c r="AE17" s="369">
        <v>0.96968027486078112</v>
      </c>
      <c r="AF17" s="369">
        <v>0.98924010525432049</v>
      </c>
      <c r="AG17" s="368">
        <v>16000</v>
      </c>
      <c r="AH17" s="367">
        <v>181.52782164885215</v>
      </c>
      <c r="AI17" s="364">
        <v>1378.8948571348792</v>
      </c>
      <c r="AJ17" s="358">
        <v>77.319591651448292</v>
      </c>
      <c r="AK17" s="366">
        <f t="shared" si="2"/>
        <v>72</v>
      </c>
      <c r="AL17" s="365">
        <f t="shared" si="3"/>
        <v>0.75871422473985872</v>
      </c>
      <c r="AM17" s="369">
        <v>0.90758843834482439</v>
      </c>
      <c r="AN17" s="369">
        <v>0.93688668921408458</v>
      </c>
      <c r="AO17" s="368">
        <v>16000</v>
      </c>
      <c r="AP17" s="367">
        <v>286.77684842648171</v>
      </c>
      <c r="AQ17" s="364">
        <v>1410.8344660865455</v>
      </c>
      <c r="AR17" s="358">
        <v>0.60971357519142433</v>
      </c>
      <c r="AS17" s="366">
        <f t="shared" si="4"/>
        <v>72</v>
      </c>
      <c r="AT17" s="365">
        <f t="shared" si="5"/>
        <v>7.0109109454791055E-2</v>
      </c>
      <c r="AU17" s="1"/>
      <c r="AV17" s="1"/>
    </row>
    <row r="18" spans="1:48">
      <c r="A18" s="1705"/>
      <c r="B18" s="1705"/>
      <c r="C18" s="1705"/>
      <c r="D18" s="1705"/>
      <c r="E18" s="1705"/>
      <c r="F18" s="1705"/>
      <c r="G18" s="1705"/>
      <c r="H18" s="1705"/>
      <c r="I18" s="1705"/>
      <c r="J18" s="1705"/>
      <c r="K18" s="1705"/>
      <c r="L18" s="1705"/>
      <c r="M18" s="1705"/>
      <c r="N18" s="37"/>
      <c r="R18" s="370">
        <v>2017</v>
      </c>
      <c r="S18" s="355">
        <v>72</v>
      </c>
      <c r="T18" s="355">
        <v>84</v>
      </c>
      <c r="U18" s="368">
        <v>-100</v>
      </c>
      <c r="W18" s="369">
        <v>0.99522656043900604</v>
      </c>
      <c r="X18" s="369">
        <v>0.99903019880834254</v>
      </c>
      <c r="Y18" s="368">
        <v>16000</v>
      </c>
      <c r="Z18" s="367">
        <v>35.153536148175391</v>
      </c>
      <c r="AA18" s="364">
        <v>-391.12605763334818</v>
      </c>
      <c r="AB18" s="358">
        <v>519.61993969429602</v>
      </c>
      <c r="AC18" s="366">
        <f t="shared" si="0"/>
        <v>84</v>
      </c>
      <c r="AD18" s="365">
        <f t="shared" si="1"/>
        <v>-1.7212332241654646</v>
      </c>
      <c r="AE18" s="369">
        <v>0.98924010525432049</v>
      </c>
      <c r="AF18" s="369">
        <v>0.99628625999948506</v>
      </c>
      <c r="AG18" s="368">
        <v>16000</v>
      </c>
      <c r="AH18" s="367">
        <v>65.392853422334682</v>
      </c>
      <c r="AI18" s="364">
        <v>-483.43415118277153</v>
      </c>
      <c r="AJ18" s="358">
        <v>418.31476272358157</v>
      </c>
      <c r="AK18" s="366">
        <f t="shared" si="2"/>
        <v>84</v>
      </c>
      <c r="AL18" s="365">
        <f t="shared" si="3"/>
        <v>-1.7647575411654535</v>
      </c>
      <c r="AM18" s="369">
        <v>0.93688668921408458</v>
      </c>
      <c r="AN18" s="369">
        <v>0.95441503733637578</v>
      </c>
      <c r="AO18" s="368">
        <v>16000</v>
      </c>
      <c r="AP18" s="367">
        <v>171.57080315354131</v>
      </c>
      <c r="AQ18" s="364">
        <v>-686.07040593201248</v>
      </c>
      <c r="AR18" s="358">
        <v>429.85577831362639</v>
      </c>
      <c r="AS18" s="366">
        <f t="shared" si="4"/>
        <v>84</v>
      </c>
      <c r="AT18" s="365">
        <f t="shared" si="5"/>
        <v>-1.8615422728505981</v>
      </c>
      <c r="AU18" s="1"/>
      <c r="AV18" s="1"/>
    </row>
    <row r="19" spans="1:48">
      <c r="A19" s="1704" t="s">
        <v>392</v>
      </c>
      <c r="B19" s="1704"/>
      <c r="C19" s="1704"/>
      <c r="D19" s="1704"/>
      <c r="E19" s="1704"/>
      <c r="F19" s="1704"/>
      <c r="G19" s="1704"/>
      <c r="H19" s="1704"/>
      <c r="I19" s="1704"/>
      <c r="J19" s="1704"/>
      <c r="K19" s="1704"/>
      <c r="L19" s="1704"/>
      <c r="M19" s="1704"/>
      <c r="N19" s="37"/>
      <c r="R19" s="370">
        <v>2018</v>
      </c>
      <c r="S19" s="355">
        <v>0</v>
      </c>
      <c r="T19" s="355">
        <v>12</v>
      </c>
      <c r="U19" s="368">
        <v>700</v>
      </c>
      <c r="W19" s="369">
        <v>0</v>
      </c>
      <c r="X19" s="369">
        <v>0.11856302654407158</v>
      </c>
      <c r="Y19" s="368">
        <v>17000</v>
      </c>
      <c r="Z19" s="367">
        <v>1164.2547376796126</v>
      </c>
      <c r="AA19" s="364">
        <v>3777.6307781265805</v>
      </c>
      <c r="AB19" s="358">
        <v>185.12483091761106</v>
      </c>
      <c r="AC19" s="366">
        <f t="shared" si="0"/>
        <v>12</v>
      </c>
      <c r="AD19" s="365">
        <f t="shared" si="1"/>
        <v>-1.0273753793765932</v>
      </c>
      <c r="AE19" s="369">
        <v>0</v>
      </c>
      <c r="AF19" s="369">
        <v>0.10838898776216656</v>
      </c>
      <c r="AG19" s="368">
        <v>17000</v>
      </c>
      <c r="AH19" s="367">
        <v>1068.7895790008808</v>
      </c>
      <c r="AI19" s="364">
        <v>3813.2078577831016</v>
      </c>
      <c r="AJ19" s="358">
        <v>127.25213292852928</v>
      </c>
      <c r="AK19" s="366">
        <f t="shared" si="2"/>
        <v>12</v>
      </c>
      <c r="AL19" s="365">
        <f t="shared" si="3"/>
        <v>-0.97334317026729356</v>
      </c>
      <c r="AM19" s="369">
        <v>0</v>
      </c>
      <c r="AN19" s="369">
        <v>9.6340007955764695E-2</v>
      </c>
      <c r="AO19" s="368">
        <v>17000</v>
      </c>
      <c r="AP19" s="367">
        <v>1001.9314542397848</v>
      </c>
      <c r="AQ19" s="364">
        <v>3834.8479550139523</v>
      </c>
      <c r="AR19" s="358">
        <v>90.986866091074916</v>
      </c>
      <c r="AS19" s="366">
        <f t="shared" si="4"/>
        <v>12</v>
      </c>
      <c r="AT19" s="365">
        <f t="shared" si="5"/>
        <v>-0.85644774777300159</v>
      </c>
      <c r="AU19" s="1"/>
      <c r="AV19" s="1"/>
    </row>
    <row r="20" spans="1:48" ht="16.2" customHeight="1">
      <c r="A20" s="1704"/>
      <c r="B20" s="1704"/>
      <c r="C20" s="1704"/>
      <c r="D20" s="1704"/>
      <c r="E20" s="1704"/>
      <c r="F20" s="1704"/>
      <c r="G20" s="1704"/>
      <c r="H20" s="1704"/>
      <c r="I20" s="1704"/>
      <c r="J20" s="1704"/>
      <c r="K20" s="1704"/>
      <c r="L20" s="1704"/>
      <c r="M20" s="1704"/>
      <c r="N20" s="37"/>
      <c r="R20" s="370">
        <v>2018</v>
      </c>
      <c r="S20" s="355">
        <v>12</v>
      </c>
      <c r="T20" s="355">
        <v>24</v>
      </c>
      <c r="U20" s="368">
        <v>4300</v>
      </c>
      <c r="W20" s="369">
        <v>0.11856302654407158</v>
      </c>
      <c r="X20" s="369">
        <v>0.50447424095860949</v>
      </c>
      <c r="Y20" s="368">
        <v>17000</v>
      </c>
      <c r="Z20" s="367">
        <v>3789.5368632379477</v>
      </c>
      <c r="AA20" s="364">
        <v>31642.45922778736</v>
      </c>
      <c r="AB20" s="358">
        <v>68.761071180162347</v>
      </c>
      <c r="AC20" s="366">
        <f t="shared" si="0"/>
        <v>24</v>
      </c>
      <c r="AD20" s="365">
        <f t="shared" si="1"/>
        <v>0.6261352196334421</v>
      </c>
      <c r="AE20" s="369">
        <v>0.10838898776216656</v>
      </c>
      <c r="AF20" s="369">
        <v>0.51791977640599629</v>
      </c>
      <c r="AG20" s="368">
        <v>17000</v>
      </c>
      <c r="AH20" s="367">
        <v>4038.2537766933419</v>
      </c>
      <c r="AI20" s="364">
        <v>31667.087092608253</v>
      </c>
      <c r="AJ20" s="358">
        <v>16.965522526273247</v>
      </c>
      <c r="AK20" s="366">
        <f t="shared" si="2"/>
        <v>24</v>
      </c>
      <c r="AL20" s="365">
        <f t="shared" si="3"/>
        <v>0.35539971133170539</v>
      </c>
      <c r="AM20" s="369">
        <v>9.6340007955764695E-2</v>
      </c>
      <c r="AN20" s="369">
        <v>0.50574592532532758</v>
      </c>
      <c r="AO20" s="368">
        <v>17000</v>
      </c>
      <c r="AP20" s="367">
        <v>4257.8018713970259</v>
      </c>
      <c r="AQ20" s="364">
        <v>31675.18387649646</v>
      </c>
      <c r="AR20" s="358">
        <v>0.41821627952098184</v>
      </c>
      <c r="AS20" s="366">
        <f t="shared" si="4"/>
        <v>24</v>
      </c>
      <c r="AT20" s="365">
        <f t="shared" si="5"/>
        <v>5.8064673108281326E-2</v>
      </c>
      <c r="AU20" s="1"/>
      <c r="AV20" s="1"/>
    </row>
    <row r="21" spans="1:48" ht="16.2" customHeight="1">
      <c r="A21" s="376"/>
      <c r="B21" s="22"/>
      <c r="C21" s="22"/>
      <c r="D21" s="22"/>
      <c r="E21" s="22"/>
      <c r="F21" s="22"/>
      <c r="G21" s="22"/>
      <c r="H21" s="342"/>
      <c r="I21" s="342"/>
      <c r="J21" s="341"/>
      <c r="K21" s="341"/>
      <c r="L21" s="341"/>
      <c r="M21" s="22"/>
      <c r="N21" s="37"/>
      <c r="R21" s="370">
        <v>2018</v>
      </c>
      <c r="S21" s="355">
        <v>24</v>
      </c>
      <c r="T21" s="355">
        <v>36</v>
      </c>
      <c r="U21" s="368">
        <v>2200</v>
      </c>
      <c r="W21" s="369">
        <v>0.50447424095860949</v>
      </c>
      <c r="X21" s="369">
        <v>0.78976374297441032</v>
      </c>
      <c r="Y21" s="368">
        <v>17000</v>
      </c>
      <c r="Z21" s="367">
        <v>2801.4606577935888</v>
      </c>
      <c r="AA21" s="364">
        <v>14661.911034218603</v>
      </c>
      <c r="AB21" s="358">
        <v>129.13082390327486</v>
      </c>
      <c r="AC21" s="366">
        <f t="shared" si="0"/>
        <v>36</v>
      </c>
      <c r="AD21" s="365">
        <f t="shared" si="1"/>
        <v>-0.85804838334348899</v>
      </c>
      <c r="AE21" s="369">
        <v>0.51791977640599629</v>
      </c>
      <c r="AF21" s="369">
        <v>0.79047954769088469</v>
      </c>
      <c r="AG21" s="368">
        <v>17000</v>
      </c>
      <c r="AH21" s="367">
        <v>2687.6258300645777</v>
      </c>
      <c r="AI21" s="364">
        <v>14684.483851959263</v>
      </c>
      <c r="AJ21" s="358">
        <v>88.47174613605165</v>
      </c>
      <c r="AK21" s="366">
        <f t="shared" si="2"/>
        <v>36</v>
      </c>
      <c r="AL21" s="365">
        <f t="shared" si="3"/>
        <v>-0.81158824868333257</v>
      </c>
      <c r="AM21" s="369">
        <v>0.50574592532532758</v>
      </c>
      <c r="AN21" s="369">
        <v>0.74546076862479105</v>
      </c>
      <c r="AO21" s="368">
        <v>17000</v>
      </c>
      <c r="AP21" s="367">
        <v>2493.0228536017266</v>
      </c>
      <c r="AQ21" s="364">
        <v>14713.729897696569</v>
      </c>
      <c r="AR21" s="358">
        <v>34.441077268446044</v>
      </c>
      <c r="AS21" s="366">
        <f t="shared" si="4"/>
        <v>36</v>
      </c>
      <c r="AT21" s="365">
        <f t="shared" si="5"/>
        <v>-0.52692630751282044</v>
      </c>
      <c r="AU21" s="1"/>
      <c r="AV21" s="1"/>
    </row>
    <row r="22" spans="1:48">
      <c r="A22" s="22" t="s">
        <v>7</v>
      </c>
      <c r="B22" s="375" t="s">
        <v>391</v>
      </c>
      <c r="C22" s="375"/>
      <c r="D22" s="375"/>
      <c r="E22" s="375"/>
      <c r="F22" s="375"/>
      <c r="G22" s="375"/>
      <c r="H22" s="375"/>
      <c r="I22" s="375"/>
      <c r="J22" s="375"/>
      <c r="K22" s="375"/>
      <c r="L22" s="375"/>
      <c r="M22" s="22"/>
      <c r="N22" s="37"/>
      <c r="R22" s="370">
        <v>2018</v>
      </c>
      <c r="S22" s="355">
        <v>36</v>
      </c>
      <c r="T22" s="355">
        <v>48</v>
      </c>
      <c r="U22" s="368">
        <v>1100</v>
      </c>
      <c r="W22" s="369">
        <v>0.78976374297441032</v>
      </c>
      <c r="X22" s="369">
        <v>0.92849471781397375</v>
      </c>
      <c r="Y22" s="368">
        <v>17000</v>
      </c>
      <c r="Z22" s="367">
        <v>1362.2981753070737</v>
      </c>
      <c r="AA22" s="364">
        <v>6576.3230507783001</v>
      </c>
      <c r="AB22" s="358">
        <v>50.503138018159795</v>
      </c>
      <c r="AC22" s="366">
        <f t="shared" si="0"/>
        <v>48</v>
      </c>
      <c r="AD22" s="365">
        <f t="shared" si="1"/>
        <v>-0.53660658561639574</v>
      </c>
      <c r="AE22" s="369">
        <v>0.79047954769088469</v>
      </c>
      <c r="AF22" s="369">
        <v>0.91786406136248333</v>
      </c>
      <c r="AG22" s="368">
        <v>17000</v>
      </c>
      <c r="AH22" s="367">
        <v>1256.0984611927743</v>
      </c>
      <c r="AI22" s="364">
        <v>6593.2438490947316</v>
      </c>
      <c r="AJ22" s="358">
        <v>19.398741690690184</v>
      </c>
      <c r="AK22" s="366">
        <f t="shared" si="2"/>
        <v>48</v>
      </c>
      <c r="AL22" s="365">
        <f t="shared" si="3"/>
        <v>-0.38003205552560654</v>
      </c>
      <c r="AM22" s="369">
        <v>0.74546076862479105</v>
      </c>
      <c r="AN22" s="369">
        <v>0.85410840233633356</v>
      </c>
      <c r="AO22" s="368">
        <v>17000</v>
      </c>
      <c r="AP22" s="367">
        <v>1129.930170799862</v>
      </c>
      <c r="AQ22" s="364">
        <v>6602.9720546492154</v>
      </c>
      <c r="AR22" s="358">
        <v>0.79280573902613671</v>
      </c>
      <c r="AS22" s="366">
        <f t="shared" si="4"/>
        <v>48</v>
      </c>
      <c r="AT22" s="365">
        <f t="shared" si="5"/>
        <v>-7.9945663445048026E-2</v>
      </c>
      <c r="AU22" s="1"/>
      <c r="AV22" s="1"/>
    </row>
    <row r="23" spans="1:48">
      <c r="A23" s="22"/>
      <c r="B23" s="375" t="s">
        <v>390</v>
      </c>
      <c r="C23" s="375"/>
      <c r="D23" s="375"/>
      <c r="E23" s="375"/>
      <c r="F23" s="375"/>
      <c r="G23" s="375"/>
      <c r="H23" s="375"/>
      <c r="I23" s="375"/>
      <c r="J23" s="375"/>
      <c r="K23" s="375"/>
      <c r="L23" s="375"/>
      <c r="M23" s="22"/>
      <c r="N23" s="37"/>
      <c r="R23" s="370">
        <v>2018</v>
      </c>
      <c r="S23" s="355">
        <v>48</v>
      </c>
      <c r="T23" s="355">
        <v>60</v>
      </c>
      <c r="U23" s="368">
        <v>700</v>
      </c>
      <c r="W23" s="369">
        <v>0.92849471781397375</v>
      </c>
      <c r="X23" s="369">
        <v>0.97988726295831996</v>
      </c>
      <c r="Y23" s="368">
        <v>17000</v>
      </c>
      <c r="Z23" s="367">
        <v>504.65997629941813</v>
      </c>
      <c r="AA23" s="364">
        <v>3852.0594454678367</v>
      </c>
      <c r="AB23" s="358">
        <v>75.610761010111588</v>
      </c>
      <c r="AC23" s="366">
        <f t="shared" si="0"/>
        <v>60</v>
      </c>
      <c r="AD23" s="365">
        <f t="shared" si="1"/>
        <v>0.65658146856422772</v>
      </c>
      <c r="AE23" s="369">
        <v>0.91786406136248333</v>
      </c>
      <c r="AF23" s="369">
        <v>0.96968027486078112</v>
      </c>
      <c r="AG23" s="368">
        <v>17000</v>
      </c>
      <c r="AH23" s="367">
        <v>510.9433177084822</v>
      </c>
      <c r="AI23" s="364">
        <v>3854.437744152644</v>
      </c>
      <c r="AJ23" s="358">
        <v>69.953804816112068</v>
      </c>
      <c r="AK23" s="366">
        <f t="shared" si="2"/>
        <v>60</v>
      </c>
      <c r="AL23" s="365">
        <f t="shared" si="3"/>
        <v>0.72167077960840531</v>
      </c>
      <c r="AM23" s="369">
        <v>0.85410840233633356</v>
      </c>
      <c r="AN23" s="369">
        <v>0.90758843834482439</v>
      </c>
      <c r="AO23" s="368">
        <v>17000</v>
      </c>
      <c r="AP23" s="367">
        <v>556.18980512630321</v>
      </c>
      <c r="AQ23" s="364">
        <v>3868.5869233587146</v>
      </c>
      <c r="AR23" s="358">
        <v>37.184018763008758</v>
      </c>
      <c r="AS23" s="366">
        <f t="shared" si="4"/>
        <v>60</v>
      </c>
      <c r="AT23" s="365">
        <f t="shared" si="5"/>
        <v>0.54750700625159943</v>
      </c>
      <c r="AU23" s="1"/>
      <c r="AV23" s="1"/>
    </row>
    <row r="24" spans="1:48" ht="16.2">
      <c r="A24" s="342"/>
      <c r="B24" s="342" t="s">
        <v>389</v>
      </c>
      <c r="C24" s="342"/>
      <c r="D24" s="341"/>
      <c r="E24" s="341"/>
      <c r="F24" s="22"/>
      <c r="G24" s="22"/>
      <c r="H24" s="22"/>
      <c r="I24" s="22"/>
      <c r="J24" s="22"/>
      <c r="K24" s="22"/>
      <c r="L24" s="22"/>
      <c r="M24" s="22"/>
      <c r="N24" s="37"/>
      <c r="R24" s="370">
        <v>2018</v>
      </c>
      <c r="S24" s="355">
        <v>60</v>
      </c>
      <c r="T24" s="355">
        <v>72</v>
      </c>
      <c r="U24" s="368">
        <v>-100</v>
      </c>
      <c r="W24" s="369">
        <v>0.97988726295831996</v>
      </c>
      <c r="X24" s="369">
        <v>0.99522656043900604</v>
      </c>
      <c r="Y24" s="368">
        <v>17000</v>
      </c>
      <c r="Z24" s="367">
        <v>150.62747877752022</v>
      </c>
      <c r="AA24" s="364">
        <v>-652.10845484989557</v>
      </c>
      <c r="AB24" s="358">
        <v>417.01642773397322</v>
      </c>
      <c r="AC24" s="366">
        <f t="shared" si="0"/>
        <v>72</v>
      </c>
      <c r="AD24" s="365">
        <f t="shared" si="1"/>
        <v>-1.5419610311061442</v>
      </c>
      <c r="AE24" s="369">
        <v>0.96968027486078112</v>
      </c>
      <c r="AF24" s="369">
        <v>0.98924010525432049</v>
      </c>
      <c r="AG24" s="368">
        <v>17000</v>
      </c>
      <c r="AH24" s="367">
        <v>192.87331050190539</v>
      </c>
      <c r="AI24" s="364">
        <v>-719.07666561145925</v>
      </c>
      <c r="AJ24" s="358">
        <v>444.72081586165405</v>
      </c>
      <c r="AK24" s="366">
        <f t="shared" si="2"/>
        <v>72</v>
      </c>
      <c r="AL24" s="365">
        <f t="shared" si="3"/>
        <v>-1.8196052429665566</v>
      </c>
      <c r="AM24" s="369">
        <v>0.90758843834482439</v>
      </c>
      <c r="AN24" s="369">
        <v>0.93688668921408458</v>
      </c>
      <c r="AO24" s="368">
        <v>17000</v>
      </c>
      <c r="AP24" s="367">
        <v>304.70040145313686</v>
      </c>
      <c r="AQ24" s="364">
        <v>-876.63330180578942</v>
      </c>
      <c r="AR24" s="358">
        <v>537.51952460594305</v>
      </c>
      <c r="AS24" s="366">
        <f t="shared" si="4"/>
        <v>72</v>
      </c>
      <c r="AT24" s="365">
        <f t="shared" si="5"/>
        <v>-2.0816544550313241</v>
      </c>
      <c r="AU24" s="1"/>
      <c r="AV24" s="1"/>
    </row>
    <row r="25" spans="1:48" ht="16.2">
      <c r="A25" s="342"/>
      <c r="B25" s="342" t="s">
        <v>388</v>
      </c>
      <c r="C25" s="342"/>
      <c r="D25" s="341"/>
      <c r="E25" s="341"/>
      <c r="F25" s="22"/>
      <c r="G25" s="22"/>
      <c r="H25" s="22"/>
      <c r="I25" s="22"/>
      <c r="J25" s="22"/>
      <c r="K25" s="22"/>
      <c r="L25" s="22"/>
      <c r="M25" s="22"/>
      <c r="N25" s="37"/>
      <c r="R25" s="370">
        <v>2019</v>
      </c>
      <c r="S25" s="355">
        <v>0</v>
      </c>
      <c r="T25" s="355">
        <v>12</v>
      </c>
      <c r="U25" s="368">
        <v>1300</v>
      </c>
      <c r="W25" s="369">
        <v>0</v>
      </c>
      <c r="X25" s="369">
        <v>0.11856302654407158</v>
      </c>
      <c r="Y25" s="368">
        <v>18000</v>
      </c>
      <c r="Z25" s="367">
        <v>1232.7403104842956</v>
      </c>
      <c r="AA25" s="364">
        <v>8019.3530140048551</v>
      </c>
      <c r="AB25" s="358">
        <v>3.6697638547827687</v>
      </c>
      <c r="AC25" s="366">
        <f t="shared" si="0"/>
        <v>12</v>
      </c>
      <c r="AD25" s="365">
        <f t="shared" si="1"/>
        <v>0.14464914661332012</v>
      </c>
      <c r="AE25" s="369">
        <v>0</v>
      </c>
      <c r="AF25" s="369">
        <v>0.10838898776216656</v>
      </c>
      <c r="AG25" s="368">
        <v>18000</v>
      </c>
      <c r="AH25" s="367">
        <v>1131.659554236227</v>
      </c>
      <c r="AI25" s="364">
        <v>8009.213052068817</v>
      </c>
      <c r="AJ25" s="358">
        <v>25.041546791934131</v>
      </c>
      <c r="AK25" s="366">
        <f t="shared" si="2"/>
        <v>12</v>
      </c>
      <c r="AL25" s="365">
        <f t="shared" si="3"/>
        <v>0.43178149559892581</v>
      </c>
      <c r="AM25" s="369">
        <v>0</v>
      </c>
      <c r="AN25" s="369">
        <v>9.6340007955764695E-2</v>
      </c>
      <c r="AO25" s="368">
        <v>18000</v>
      </c>
      <c r="AP25" s="367">
        <v>1060.868598606831</v>
      </c>
      <c r="AQ25" s="364">
        <v>7996.0276708563279</v>
      </c>
      <c r="AR25" s="358">
        <v>53.902836984105903</v>
      </c>
      <c r="AS25" s="366">
        <f t="shared" si="4"/>
        <v>12</v>
      </c>
      <c r="AT25" s="365">
        <f t="shared" si="5"/>
        <v>0.65920019926141105</v>
      </c>
      <c r="AU25" s="1"/>
      <c r="AV25" s="1"/>
    </row>
    <row r="26" spans="1:48">
      <c r="A26" s="37"/>
      <c r="B26" s="374"/>
      <c r="C26" s="37"/>
      <c r="D26" s="37"/>
      <c r="E26" s="37"/>
      <c r="F26" s="37"/>
      <c r="G26" s="37"/>
      <c r="H26" s="37"/>
      <c r="I26" s="37"/>
      <c r="J26" s="37"/>
      <c r="K26" s="37"/>
      <c r="L26" s="37"/>
      <c r="M26" s="37"/>
      <c r="N26" s="37"/>
      <c r="R26" s="370">
        <v>2019</v>
      </c>
      <c r="S26" s="355">
        <v>12</v>
      </c>
      <c r="T26" s="355">
        <v>24</v>
      </c>
      <c r="U26" s="368">
        <v>4700</v>
      </c>
      <c r="W26" s="369">
        <v>0.11856302654407158</v>
      </c>
      <c r="X26" s="369">
        <v>0.50447424095860949</v>
      </c>
      <c r="Y26" s="368">
        <v>18000</v>
      </c>
      <c r="Z26" s="367">
        <v>4012.4507963695914</v>
      </c>
      <c r="AA26" s="364">
        <v>34984.189476077918</v>
      </c>
      <c r="AB26" s="358">
        <v>117.81425652384894</v>
      </c>
      <c r="AC26" s="366">
        <f t="shared" si="0"/>
        <v>24</v>
      </c>
      <c r="AD26" s="365">
        <f t="shared" si="1"/>
        <v>0.8195882808344721</v>
      </c>
      <c r="AE26" s="369">
        <v>0.10838898776216656</v>
      </c>
      <c r="AF26" s="369">
        <v>0.51791977640599629</v>
      </c>
      <c r="AG26" s="368">
        <v>18000</v>
      </c>
      <c r="AH26" s="367">
        <v>4275.7981164988332</v>
      </c>
      <c r="AI26" s="364">
        <v>35019.614355459969</v>
      </c>
      <c r="AJ26" s="358">
        <v>42.085064136116017</v>
      </c>
      <c r="AK26" s="366">
        <f t="shared" si="2"/>
        <v>24</v>
      </c>
      <c r="AL26" s="365">
        <f t="shared" si="3"/>
        <v>0.55975431138676224</v>
      </c>
      <c r="AM26" s="369">
        <v>9.6340007955764695E-2</v>
      </c>
      <c r="AN26" s="369">
        <v>0.50574592532532758</v>
      </c>
      <c r="AO26" s="368">
        <v>18000</v>
      </c>
      <c r="AP26" s="367">
        <v>4508.2608050086164</v>
      </c>
      <c r="AQ26" s="364">
        <v>35035.972813318062</v>
      </c>
      <c r="AR26" s="358">
        <v>8.1547897262508844</v>
      </c>
      <c r="AS26" s="366">
        <f t="shared" si="4"/>
        <v>24</v>
      </c>
      <c r="AT26" s="365">
        <f t="shared" si="5"/>
        <v>0.25639992974752485</v>
      </c>
      <c r="AU26" s="1"/>
      <c r="AV26" s="1"/>
    </row>
    <row r="27" spans="1:48">
      <c r="A27" s="37"/>
      <c r="B27" s="374" t="s">
        <v>387</v>
      </c>
      <c r="C27" s="170"/>
      <c r="D27" s="170"/>
      <c r="E27" s="170"/>
      <c r="F27" s="37"/>
      <c r="G27" s="37"/>
      <c r="I27" s="37"/>
      <c r="J27" s="37"/>
      <c r="K27" s="37"/>
      <c r="L27" s="37"/>
      <c r="M27" s="37"/>
      <c r="N27" s="37"/>
      <c r="R27" s="370">
        <v>2019</v>
      </c>
      <c r="S27" s="355">
        <v>24</v>
      </c>
      <c r="T27" s="355">
        <v>36</v>
      </c>
      <c r="U27" s="368">
        <v>3300</v>
      </c>
      <c r="W27" s="369">
        <v>0.50447424095860949</v>
      </c>
      <c r="X27" s="369">
        <v>0.78976374297441032</v>
      </c>
      <c r="Y27" s="368">
        <v>18000</v>
      </c>
      <c r="Z27" s="367">
        <v>2966.2524611932117</v>
      </c>
      <c r="AA27" s="364">
        <v>23417.427842496905</v>
      </c>
      <c r="AB27" s="358">
        <v>37.551564176294583</v>
      </c>
      <c r="AC27" s="366">
        <f t="shared" si="0"/>
        <v>36</v>
      </c>
      <c r="AD27" s="365">
        <f t="shared" si="1"/>
        <v>0.46271207421468563</v>
      </c>
      <c r="AE27" s="369">
        <v>0.51791977640599629</v>
      </c>
      <c r="AF27" s="369">
        <v>0.79047954769088469</v>
      </c>
      <c r="AG27" s="368">
        <v>18000</v>
      </c>
      <c r="AH27" s="367">
        <v>2845.7214671272</v>
      </c>
      <c r="AI27" s="364">
        <v>23401.065821580392</v>
      </c>
      <c r="AJ27" s="358">
        <v>72.519038779082052</v>
      </c>
      <c r="AK27" s="366">
        <f t="shared" si="2"/>
        <v>36</v>
      </c>
      <c r="AL27" s="365">
        <f t="shared" si="3"/>
        <v>0.73478362645420747</v>
      </c>
      <c r="AM27" s="369">
        <v>0.50574592532532758</v>
      </c>
      <c r="AN27" s="369">
        <v>0.74546076862479105</v>
      </c>
      <c r="AO27" s="368">
        <v>18000</v>
      </c>
      <c r="AP27" s="367">
        <v>2639.6712567547697</v>
      </c>
      <c r="AQ27" s="364">
        <v>23359.080635864506</v>
      </c>
      <c r="AR27" s="358">
        <v>165.18498204654793</v>
      </c>
      <c r="AS27" s="366">
        <f t="shared" si="4"/>
        <v>36</v>
      </c>
      <c r="AT27" s="365">
        <f t="shared" si="5"/>
        <v>1.1539760582751457</v>
      </c>
      <c r="AU27" s="1"/>
      <c r="AV27" s="1"/>
    </row>
    <row r="28" spans="1:48">
      <c r="A28" s="37"/>
      <c r="B28" s="37"/>
      <c r="E28" s="37"/>
      <c r="F28" s="37"/>
      <c r="G28" s="37"/>
      <c r="I28" s="37"/>
      <c r="J28" s="37"/>
      <c r="K28" s="37"/>
      <c r="L28" s="37"/>
      <c r="M28" s="37"/>
      <c r="N28" s="37"/>
      <c r="R28" s="370">
        <v>2019</v>
      </c>
      <c r="S28" s="355">
        <v>36</v>
      </c>
      <c r="T28" s="355">
        <v>48</v>
      </c>
      <c r="U28" s="368">
        <v>1300</v>
      </c>
      <c r="W28" s="369">
        <v>0.78976374297441032</v>
      </c>
      <c r="X28" s="369">
        <v>0.92849471781397375</v>
      </c>
      <c r="Y28" s="368">
        <v>18000</v>
      </c>
      <c r="Z28" s="367">
        <v>1442.4333620898426</v>
      </c>
      <c r="AA28" s="364">
        <v>8013.8794794575324</v>
      </c>
      <c r="AB28" s="358">
        <v>14.06460996355727</v>
      </c>
      <c r="AC28" s="366">
        <f t="shared" si="0"/>
        <v>48</v>
      </c>
      <c r="AD28" s="365">
        <f t="shared" si="1"/>
        <v>-0.28317875161447542</v>
      </c>
      <c r="AE28" s="369">
        <v>0.79047954769088469</v>
      </c>
      <c r="AF28" s="369">
        <v>0.91786406136248333</v>
      </c>
      <c r="AG28" s="368">
        <v>18000</v>
      </c>
      <c r="AH28" s="367">
        <v>1329.98660596882</v>
      </c>
      <c r="AI28" s="364">
        <v>8020.8147896356195</v>
      </c>
      <c r="AJ28" s="358">
        <v>0.67609443094673494</v>
      </c>
      <c r="AK28" s="366">
        <f t="shared" si="2"/>
        <v>48</v>
      </c>
      <c r="AL28" s="365">
        <f t="shared" si="3"/>
        <v>-7.09475054347352E-2</v>
      </c>
      <c r="AM28" s="369">
        <v>0.74546076862479105</v>
      </c>
      <c r="AN28" s="369">
        <v>0.85410840233633356</v>
      </c>
      <c r="AO28" s="368">
        <v>18000</v>
      </c>
      <c r="AP28" s="367">
        <v>1196.396651435148</v>
      </c>
      <c r="AQ28" s="364">
        <v>8016.7937348147852</v>
      </c>
      <c r="AR28" s="358">
        <v>8.9716515178929797</v>
      </c>
      <c r="AS28" s="366">
        <f t="shared" si="4"/>
        <v>48</v>
      </c>
      <c r="AT28" s="365">
        <f t="shared" si="5"/>
        <v>0.26893524155779674</v>
      </c>
      <c r="AU28" s="1"/>
      <c r="AV28" s="1"/>
    </row>
    <row r="29" spans="1:48">
      <c r="B29" s="174" t="s">
        <v>386</v>
      </c>
      <c r="C29" s="373" t="s">
        <v>385</v>
      </c>
      <c r="G29" s="351"/>
      <c r="N29" s="37"/>
      <c r="R29" s="370">
        <v>2019</v>
      </c>
      <c r="S29" s="355">
        <v>48</v>
      </c>
      <c r="T29" s="355">
        <v>60</v>
      </c>
      <c r="U29" s="368">
        <v>500</v>
      </c>
      <c r="W29" s="369">
        <v>0.92849471781397375</v>
      </c>
      <c r="X29" s="369">
        <v>0.97988726295831996</v>
      </c>
      <c r="Y29" s="368">
        <v>18000</v>
      </c>
      <c r="Z29" s="367">
        <v>534.34585725820739</v>
      </c>
      <c r="AA29" s="364">
        <v>2606.1757937812345</v>
      </c>
      <c r="AB29" s="358">
        <v>2.2076299362626681</v>
      </c>
      <c r="AC29" s="366">
        <f t="shared" si="0"/>
        <v>60</v>
      </c>
      <c r="AD29" s="365">
        <f t="shared" si="1"/>
        <v>-0.11219149977442992</v>
      </c>
      <c r="AE29" s="369">
        <v>0.91786406136248333</v>
      </c>
      <c r="AF29" s="369">
        <v>0.96968027486078112</v>
      </c>
      <c r="AG29" s="368">
        <v>18000</v>
      </c>
      <c r="AH29" s="367">
        <v>540.99880698545178</v>
      </c>
      <c r="AI29" s="364">
        <v>2605.7097298353269</v>
      </c>
      <c r="AJ29" s="358">
        <v>3.1070349001260023</v>
      </c>
      <c r="AK29" s="366">
        <f t="shared" si="2"/>
        <v>60</v>
      </c>
      <c r="AL29" s="365">
        <f t="shared" si="3"/>
        <v>-0.15209205096854286</v>
      </c>
      <c r="AM29" s="369">
        <v>0.85410840233633356</v>
      </c>
      <c r="AN29" s="369">
        <v>0.90758843834482439</v>
      </c>
      <c r="AO29" s="368">
        <v>18000</v>
      </c>
      <c r="AP29" s="367">
        <v>588.9068524866741</v>
      </c>
      <c r="AQ29" s="364">
        <v>2600.2271604940279</v>
      </c>
      <c r="AR29" s="358">
        <v>13.422204862637578</v>
      </c>
      <c r="AS29" s="366">
        <f t="shared" si="4"/>
        <v>60</v>
      </c>
      <c r="AT29" s="365">
        <f t="shared" si="5"/>
        <v>-0.32894512150298721</v>
      </c>
      <c r="AU29" s="1"/>
      <c r="AV29" s="1"/>
    </row>
    <row r="30" spans="1:48">
      <c r="A30" s="37"/>
      <c r="B30" s="174" t="s">
        <v>384</v>
      </c>
      <c r="C30" s="372">
        <f>AB40</f>
        <v>5787.8905120570662</v>
      </c>
      <c r="D30" s="37" t="s">
        <v>383</v>
      </c>
      <c r="E30" s="37"/>
      <c r="F30" s="37"/>
      <c r="G30" s="37"/>
      <c r="I30" s="37"/>
      <c r="J30" s="37"/>
      <c r="K30" s="37"/>
      <c r="L30" s="37"/>
      <c r="M30" s="37"/>
      <c r="N30" s="37"/>
      <c r="R30" s="370">
        <v>2020</v>
      </c>
      <c r="S30" s="355">
        <v>0</v>
      </c>
      <c r="T30" s="355">
        <v>12</v>
      </c>
      <c r="U30" s="368">
        <v>1500</v>
      </c>
      <c r="W30" s="369">
        <v>0</v>
      </c>
      <c r="X30" s="369">
        <v>0.11856302654407158</v>
      </c>
      <c r="Y30" s="368">
        <v>20000</v>
      </c>
      <c r="Z30" s="367">
        <v>1369.7114560936618</v>
      </c>
      <c r="AA30" s="364">
        <v>9463.8216148805586</v>
      </c>
      <c r="AB30" s="358">
        <v>12.393197558298764</v>
      </c>
      <c r="AC30" s="366">
        <f t="shared" si="0"/>
        <v>12</v>
      </c>
      <c r="AD30" s="365">
        <f t="shared" si="1"/>
        <v>0.26582051972065346</v>
      </c>
      <c r="AE30" s="369">
        <v>0</v>
      </c>
      <c r="AF30" s="369">
        <v>0.10838898776216656</v>
      </c>
      <c r="AG30" s="368">
        <v>20000</v>
      </c>
      <c r="AH30" s="367">
        <v>1257.3995047069186</v>
      </c>
      <c r="AI30" s="364">
        <v>9447.8019683625644</v>
      </c>
      <c r="AJ30" s="358">
        <v>46.806921822485243</v>
      </c>
      <c r="AK30" s="366">
        <f t="shared" si="2"/>
        <v>12</v>
      </c>
      <c r="AL30" s="365">
        <f t="shared" si="3"/>
        <v>0.59032135113588013</v>
      </c>
      <c r="AM30" s="369">
        <v>0</v>
      </c>
      <c r="AN30" s="369">
        <v>9.6340007955764695E-2</v>
      </c>
      <c r="AO30" s="368">
        <v>20000</v>
      </c>
      <c r="AP30" s="367">
        <v>1178.7428873409233</v>
      </c>
      <c r="AQ30" s="364">
        <v>9429.5628124494615</v>
      </c>
      <c r="AR30" s="358">
        <v>87.556101964581188</v>
      </c>
      <c r="AS30" s="366">
        <f t="shared" si="4"/>
        <v>12</v>
      </c>
      <c r="AT30" s="365">
        <f t="shared" si="5"/>
        <v>0.8401459293020187</v>
      </c>
      <c r="AU30" s="1"/>
      <c r="AV30" s="1"/>
    </row>
    <row r="31" spans="1:48">
      <c r="A31" s="37"/>
      <c r="B31" s="174" t="s">
        <v>382</v>
      </c>
      <c r="C31" s="372">
        <f>AJ40</f>
        <v>4432.48259150379</v>
      </c>
      <c r="D31" s="37"/>
      <c r="E31" s="37"/>
      <c r="F31" s="37"/>
      <c r="K31" s="1"/>
      <c r="L31" s="1"/>
      <c r="M31" s="37"/>
      <c r="N31" s="37"/>
      <c r="R31" s="370">
        <v>2020</v>
      </c>
      <c r="S31" s="355">
        <v>12</v>
      </c>
      <c r="T31" s="355">
        <v>24</v>
      </c>
      <c r="U31" s="368">
        <v>5300</v>
      </c>
      <c r="W31" s="369">
        <v>0.11856302654407158</v>
      </c>
      <c r="X31" s="369">
        <v>0.50447424095860949</v>
      </c>
      <c r="Y31" s="368">
        <v>20000</v>
      </c>
      <c r="Z31" s="367">
        <v>4458.2786626328798</v>
      </c>
      <c r="AA31" s="364">
        <v>40075.066845666755</v>
      </c>
      <c r="AB31" s="358">
        <v>158.91667241829268</v>
      </c>
      <c r="AC31" s="366">
        <f t="shared" si="0"/>
        <v>24</v>
      </c>
      <c r="AD31" s="365">
        <f t="shared" si="1"/>
        <v>0.95187856617468702</v>
      </c>
      <c r="AE31" s="369">
        <v>0.10838898776216656</v>
      </c>
      <c r="AF31" s="369">
        <v>0.51791977640599629</v>
      </c>
      <c r="AG31" s="368">
        <v>20000</v>
      </c>
      <c r="AH31" s="367">
        <v>4750.886796109814</v>
      </c>
      <c r="AI31" s="364">
        <v>40119.372043553616</v>
      </c>
      <c r="AJ31" s="358">
        <v>63.467163842641767</v>
      </c>
      <c r="AK31" s="366">
        <f t="shared" si="2"/>
        <v>24</v>
      </c>
      <c r="AL31" s="365">
        <f t="shared" si="3"/>
        <v>0.68739757603902141</v>
      </c>
      <c r="AM31" s="369">
        <v>9.6340007955764695E-2</v>
      </c>
      <c r="AN31" s="369">
        <v>0.50574592532532758</v>
      </c>
      <c r="AO31" s="368">
        <v>20000</v>
      </c>
      <c r="AP31" s="367">
        <v>5009.1786722317956</v>
      </c>
      <c r="AQ31" s="364">
        <v>40141.665715463503</v>
      </c>
      <c r="AR31" s="358">
        <v>16.884413637251789</v>
      </c>
      <c r="AS31" s="366">
        <f t="shared" si="4"/>
        <v>24</v>
      </c>
      <c r="AT31" s="365">
        <f t="shared" si="5"/>
        <v>0.36893895202867732</v>
      </c>
      <c r="AU31" s="1"/>
      <c r="AV31" s="1"/>
    </row>
    <row r="32" spans="1:48">
      <c r="A32" s="37"/>
      <c r="B32" s="174" t="s">
        <v>381</v>
      </c>
      <c r="C32" s="371">
        <f>AR40</f>
        <v>4093.4633208154564</v>
      </c>
      <c r="D32" s="170" t="s">
        <v>380</v>
      </c>
      <c r="E32" s="37"/>
      <c r="F32" s="37"/>
      <c r="H32" s="170"/>
      <c r="M32" s="37"/>
      <c r="N32" s="37"/>
      <c r="R32" s="370">
        <v>2020</v>
      </c>
      <c r="S32" s="355">
        <v>24</v>
      </c>
      <c r="T32" s="355">
        <v>36</v>
      </c>
      <c r="U32" s="368">
        <v>4000</v>
      </c>
      <c r="W32" s="369">
        <v>0.50447424095860949</v>
      </c>
      <c r="X32" s="369">
        <v>0.78976374297441032</v>
      </c>
      <c r="Y32" s="368">
        <v>20000</v>
      </c>
      <c r="Z32" s="367">
        <v>3295.8360679924572</v>
      </c>
      <c r="AA32" s="364">
        <v>29105.824544566261</v>
      </c>
      <c r="AB32" s="358">
        <v>150.44645210231926</v>
      </c>
      <c r="AC32" s="366">
        <f t="shared" si="0"/>
        <v>36</v>
      </c>
      <c r="AD32" s="365">
        <f t="shared" si="1"/>
        <v>0.92616377750163204</v>
      </c>
      <c r="AE32" s="369">
        <v>0.51791977640599629</v>
      </c>
      <c r="AF32" s="369">
        <v>0.79047954769088469</v>
      </c>
      <c r="AG32" s="368">
        <v>20000</v>
      </c>
      <c r="AH32" s="367">
        <v>3161.9127412524444</v>
      </c>
      <c r="AI32" s="364">
        <v>29073.816944054735</v>
      </c>
      <c r="AJ32" s="358">
        <v>222.14093517228844</v>
      </c>
      <c r="AK32" s="366">
        <f t="shared" si="2"/>
        <v>36</v>
      </c>
      <c r="AL32" s="365">
        <f t="shared" si="3"/>
        <v>1.2860200764973175</v>
      </c>
      <c r="AM32" s="369">
        <v>0.50574592532532758</v>
      </c>
      <c r="AN32" s="369">
        <v>0.74546076862479105</v>
      </c>
      <c r="AO32" s="368">
        <v>20000</v>
      </c>
      <c r="AP32" s="367">
        <v>2932.968063060855</v>
      </c>
      <c r="AQ32" s="364">
        <v>29002.112657290781</v>
      </c>
      <c r="AR32" s="358">
        <v>388.19282377725636</v>
      </c>
      <c r="AS32" s="366">
        <f t="shared" si="4"/>
        <v>36</v>
      </c>
      <c r="AT32" s="365">
        <f t="shared" si="5"/>
        <v>1.7690302920459471</v>
      </c>
      <c r="AU32" s="1"/>
      <c r="AV32" s="1"/>
    </row>
    <row r="33" spans="1:48">
      <c r="A33" s="37"/>
      <c r="B33" s="37"/>
      <c r="C33" s="351"/>
      <c r="D33" s="351"/>
      <c r="E33" s="37"/>
      <c r="F33" s="37"/>
      <c r="G33" s="351"/>
      <c r="H33" s="170"/>
      <c r="I33" s="37"/>
      <c r="J33" s="37"/>
      <c r="K33" s="37"/>
      <c r="L33" s="37"/>
      <c r="M33" s="37"/>
      <c r="N33" s="37"/>
      <c r="R33" s="370">
        <v>2020</v>
      </c>
      <c r="S33" s="355">
        <v>36</v>
      </c>
      <c r="T33" s="355">
        <v>48</v>
      </c>
      <c r="U33" s="368">
        <v>1000</v>
      </c>
      <c r="W33" s="369">
        <v>0.78976374297441032</v>
      </c>
      <c r="X33" s="369">
        <v>0.92849471781397375</v>
      </c>
      <c r="Y33" s="368">
        <v>20000</v>
      </c>
      <c r="Z33" s="367">
        <v>1602.7037356553808</v>
      </c>
      <c r="AA33" s="364">
        <v>5776.7435811927335</v>
      </c>
      <c r="AB33" s="358">
        <v>226.649370617714</v>
      </c>
      <c r="AC33" s="366">
        <f t="shared" si="0"/>
        <v>48</v>
      </c>
      <c r="AD33" s="365">
        <f t="shared" si="1"/>
        <v>-1.1367738511460701</v>
      </c>
      <c r="AE33" s="369">
        <v>0.79047954769088469</v>
      </c>
      <c r="AF33" s="369">
        <v>0.91786406136248333</v>
      </c>
      <c r="AG33" s="368">
        <v>20000</v>
      </c>
      <c r="AH33" s="367">
        <v>1477.7628955209109</v>
      </c>
      <c r="AI33" s="364">
        <v>5820.5217706018693</v>
      </c>
      <c r="AJ33" s="358">
        <v>154.46143967233942</v>
      </c>
      <c r="AK33" s="366">
        <f t="shared" si="2"/>
        <v>48</v>
      </c>
      <c r="AL33" s="365">
        <f t="shared" si="3"/>
        <v>-1.0723671207262513</v>
      </c>
      <c r="AM33" s="369">
        <v>0.74546076862479105</v>
      </c>
      <c r="AN33" s="369">
        <v>0.85410840233633356</v>
      </c>
      <c r="AO33" s="368">
        <v>20000</v>
      </c>
      <c r="AP33" s="367">
        <v>1329.3296127057199</v>
      </c>
      <c r="AQ33" s="364">
        <v>5863.1004308366701</v>
      </c>
      <c r="AR33" s="358">
        <v>81.588488489430304</v>
      </c>
      <c r="AS33" s="366">
        <f t="shared" si="4"/>
        <v>48</v>
      </c>
      <c r="AT33" s="365">
        <f t="shared" si="5"/>
        <v>-0.81100953837166356</v>
      </c>
      <c r="AU33" s="1"/>
      <c r="AV33" s="1"/>
    </row>
    <row r="34" spans="1:48">
      <c r="A34" s="37"/>
      <c r="B34" s="37" t="s">
        <v>379</v>
      </c>
      <c r="C34" s="351"/>
      <c r="D34" s="351"/>
      <c r="E34" s="37"/>
      <c r="F34" s="37"/>
      <c r="G34" s="37"/>
      <c r="H34" s="170"/>
      <c r="I34" s="37"/>
      <c r="J34" s="37"/>
      <c r="K34" s="37"/>
      <c r="L34" s="37"/>
      <c r="M34" s="37"/>
      <c r="N34" s="37"/>
      <c r="R34" s="370">
        <v>2021</v>
      </c>
      <c r="S34" s="355">
        <v>0</v>
      </c>
      <c r="T34" s="355">
        <v>12</v>
      </c>
      <c r="U34" s="368">
        <v>1200</v>
      </c>
      <c r="W34" s="369">
        <v>0</v>
      </c>
      <c r="X34" s="369">
        <v>0.11856302654407158</v>
      </c>
      <c r="Y34" s="368">
        <v>22000</v>
      </c>
      <c r="Z34" s="367">
        <v>1506.682601703028</v>
      </c>
      <c r="AA34" s="364">
        <v>7274.5160708415378</v>
      </c>
      <c r="AB34" s="358">
        <v>62.42470582790768</v>
      </c>
      <c r="AC34" s="366">
        <f t="shared" si="0"/>
        <v>12</v>
      </c>
      <c r="AD34" s="365">
        <f t="shared" si="1"/>
        <v>-0.59658876249222159</v>
      </c>
      <c r="AE34" s="369">
        <v>0</v>
      </c>
      <c r="AF34" s="369">
        <v>0.10838898776216656</v>
      </c>
      <c r="AG34" s="368">
        <v>22000</v>
      </c>
      <c r="AH34" s="367">
        <v>1383.1394551776107</v>
      </c>
      <c r="AI34" s="364">
        <v>7295.393939043166</v>
      </c>
      <c r="AJ34" s="358">
        <v>24.24922513575838</v>
      </c>
      <c r="AK34" s="366">
        <f t="shared" si="2"/>
        <v>12</v>
      </c>
      <c r="AL34" s="365">
        <f t="shared" si="3"/>
        <v>-0.42489574643739786</v>
      </c>
      <c r="AM34" s="369">
        <v>0</v>
      </c>
      <c r="AN34" s="369">
        <v>9.6340007955764695E-2</v>
      </c>
      <c r="AO34" s="368">
        <v>22000</v>
      </c>
      <c r="AP34" s="367">
        <v>1296.6171760750158</v>
      </c>
      <c r="AQ34" s="364">
        <v>7304.3995995224823</v>
      </c>
      <c r="AR34" s="358">
        <v>7.1994100378711403</v>
      </c>
      <c r="AS34" s="366">
        <f t="shared" si="4"/>
        <v>12</v>
      </c>
      <c r="AT34" s="365">
        <f t="shared" si="5"/>
        <v>-0.24091285419370917</v>
      </c>
      <c r="AU34" s="1"/>
      <c r="AV34" s="1"/>
    </row>
    <row r="35" spans="1:48">
      <c r="A35" s="37"/>
      <c r="B35" s="37" t="s">
        <v>378</v>
      </c>
      <c r="C35" s="351"/>
      <c r="D35" s="351"/>
      <c r="E35" s="37"/>
      <c r="F35" s="1"/>
      <c r="L35"/>
      <c r="M35"/>
      <c r="N35" s="37"/>
      <c r="R35" s="370">
        <v>2021</v>
      </c>
      <c r="S35" s="355">
        <v>12</v>
      </c>
      <c r="T35" s="355">
        <v>24</v>
      </c>
      <c r="U35" s="368">
        <v>6100</v>
      </c>
      <c r="W35" s="369">
        <v>0.11856302654407158</v>
      </c>
      <c r="X35" s="369">
        <v>0.50447424095860949</v>
      </c>
      <c r="Y35" s="368">
        <v>22000</v>
      </c>
      <c r="Z35" s="367">
        <v>4904.1065288961681</v>
      </c>
      <c r="AA35" s="364">
        <v>46932.645492556971</v>
      </c>
      <c r="AB35" s="358">
        <v>291.62522995818301</v>
      </c>
      <c r="AC35" s="366">
        <f t="shared" si="0"/>
        <v>24</v>
      </c>
      <c r="AD35" s="365">
        <f t="shared" si="1"/>
        <v>1.2894644209075203</v>
      </c>
      <c r="AE35" s="369">
        <v>0.10838898776216656</v>
      </c>
      <c r="AF35" s="369">
        <v>0.51791977640599629</v>
      </c>
      <c r="AG35" s="368">
        <v>22000</v>
      </c>
      <c r="AH35" s="367">
        <v>5225.9754757207957</v>
      </c>
      <c r="AI35" s="364">
        <v>46998.54471956614</v>
      </c>
      <c r="AJ35" s="358">
        <v>146.17727782890628</v>
      </c>
      <c r="AK35" s="366">
        <f t="shared" si="2"/>
        <v>24</v>
      </c>
      <c r="AL35" s="365">
        <f t="shared" si="3"/>
        <v>1.04321394947266</v>
      </c>
      <c r="AM35" s="369">
        <v>9.6340007955764695E-2</v>
      </c>
      <c r="AN35" s="369">
        <v>0.50574592532532758</v>
      </c>
      <c r="AO35" s="368">
        <v>22000</v>
      </c>
      <c r="AP35" s="367">
        <v>5510.0965394549758</v>
      </c>
      <c r="AQ35" s="364">
        <v>47037.361739415792</v>
      </c>
      <c r="AR35" s="358">
        <v>63.154264225906935</v>
      </c>
      <c r="AS35" s="366">
        <f t="shared" si="4"/>
        <v>24</v>
      </c>
      <c r="AT35" s="365">
        <f t="shared" si="5"/>
        <v>0.71353101974295896</v>
      </c>
      <c r="AU35" s="1"/>
      <c r="AV35" s="1"/>
    </row>
    <row r="36" spans="1:48">
      <c r="A36" s="37"/>
      <c r="B36" s="37" t="s">
        <v>377</v>
      </c>
      <c r="C36" s="351"/>
      <c r="D36" s="351"/>
      <c r="E36" s="37"/>
      <c r="N36" s="37"/>
      <c r="R36" s="370">
        <v>2021</v>
      </c>
      <c r="S36" s="355">
        <v>24</v>
      </c>
      <c r="T36" s="355">
        <v>36</v>
      </c>
      <c r="U36" s="368">
        <v>3300</v>
      </c>
      <c r="W36" s="369">
        <v>0.50447424095860949</v>
      </c>
      <c r="X36" s="369">
        <v>0.78976374297441032</v>
      </c>
      <c r="Y36" s="368">
        <v>22000</v>
      </c>
      <c r="Z36" s="367">
        <v>3625.4196747917031</v>
      </c>
      <c r="AA36" s="364">
        <v>23420.473923923513</v>
      </c>
      <c r="AB36" s="358">
        <v>29.209849959680078</v>
      </c>
      <c r="AC36" s="366">
        <f t="shared" si="0"/>
        <v>36</v>
      </c>
      <c r="AD36" s="365">
        <f t="shared" si="1"/>
        <v>-0.40809519325961147</v>
      </c>
      <c r="AE36" s="369">
        <v>0.51791977640599629</v>
      </c>
      <c r="AF36" s="369">
        <v>0.79047954769088469</v>
      </c>
      <c r="AG36" s="368">
        <v>22000</v>
      </c>
      <c r="AH36" s="367">
        <v>3478.1040153776889</v>
      </c>
      <c r="AI36" s="364">
        <v>23430.896568355001</v>
      </c>
      <c r="AJ36" s="358">
        <v>9.1202103655923743</v>
      </c>
      <c r="AK36" s="366">
        <f t="shared" si="2"/>
        <v>36</v>
      </c>
      <c r="AL36" s="365">
        <f t="shared" si="3"/>
        <v>-0.26057687926441747</v>
      </c>
      <c r="AM36" s="369">
        <v>0.50574592532532758</v>
      </c>
      <c r="AN36" s="369">
        <v>0.74546076862479105</v>
      </c>
      <c r="AO36" s="368">
        <v>22000</v>
      </c>
      <c r="AP36" s="367">
        <v>3226.2648693669407</v>
      </c>
      <c r="AQ36" s="364">
        <v>23434.700318277435</v>
      </c>
      <c r="AR36" s="358">
        <v>1.6851900602138536</v>
      </c>
      <c r="AS36" s="366">
        <f t="shared" si="4"/>
        <v>36</v>
      </c>
      <c r="AT36" s="365">
        <f t="shared" si="5"/>
        <v>0.11655635639432468</v>
      </c>
      <c r="AU36" s="1"/>
      <c r="AV36" s="1"/>
    </row>
    <row r="37" spans="1:48">
      <c r="A37" s="37"/>
      <c r="B37" s="37"/>
      <c r="C37" s="351"/>
      <c r="D37" s="351"/>
      <c r="E37" s="37"/>
      <c r="F37" s="37"/>
      <c r="G37" s="351"/>
      <c r="K37" s="37"/>
      <c r="L37" s="37"/>
      <c r="M37" s="37"/>
      <c r="N37" s="37"/>
      <c r="R37" s="370">
        <v>2022</v>
      </c>
      <c r="S37" s="355">
        <v>0</v>
      </c>
      <c r="T37" s="355">
        <v>12</v>
      </c>
      <c r="U37" s="368">
        <v>700</v>
      </c>
      <c r="W37" s="369">
        <v>0</v>
      </c>
      <c r="X37" s="369">
        <v>0.11856302654407158</v>
      </c>
      <c r="Y37" s="368">
        <v>25000</v>
      </c>
      <c r="Z37" s="367">
        <v>1712.1393201170772</v>
      </c>
      <c r="AA37" s="364">
        <v>3499.7099322575054</v>
      </c>
      <c r="AB37" s="358">
        <v>598.33098351891624</v>
      </c>
      <c r="AC37" s="366">
        <f t="shared" si="0"/>
        <v>12</v>
      </c>
      <c r="AD37" s="365">
        <f t="shared" si="1"/>
        <v>-1.8470028377411019</v>
      </c>
      <c r="AE37" s="369">
        <v>0</v>
      </c>
      <c r="AF37" s="369">
        <v>0.10838898776216656</v>
      </c>
      <c r="AG37" s="368">
        <v>25000</v>
      </c>
      <c r="AH37" s="367">
        <v>1571.7493808836484</v>
      </c>
      <c r="AI37" s="364">
        <v>3580.2117924687232</v>
      </c>
      <c r="AJ37" s="358">
        <v>483.50391755444929</v>
      </c>
      <c r="AK37" s="366">
        <f t="shared" si="2"/>
        <v>12</v>
      </c>
      <c r="AL37" s="365">
        <f t="shared" si="3"/>
        <v>-1.8972888273722865</v>
      </c>
      <c r="AM37" s="369">
        <v>0</v>
      </c>
      <c r="AN37" s="369">
        <v>9.6340007955764695E-2</v>
      </c>
      <c r="AO37" s="368">
        <v>25000</v>
      </c>
      <c r="AP37" s="367">
        <v>1473.4286091761542</v>
      </c>
      <c r="AQ37" s="364">
        <v>3633.3145366459721</v>
      </c>
      <c r="AR37" s="358">
        <v>405.98628923503139</v>
      </c>
      <c r="AS37" s="366">
        <f t="shared" si="4"/>
        <v>12</v>
      </c>
      <c r="AT37" s="365">
        <f t="shared" si="5"/>
        <v>-1.8091192793398716</v>
      </c>
      <c r="AU37" s="1"/>
      <c r="AV37" s="1"/>
    </row>
    <row r="38" spans="1:48">
      <c r="A38" s="37"/>
      <c r="B38" s="37" t="s">
        <v>376</v>
      </c>
      <c r="C38" s="351"/>
      <c r="D38" s="351"/>
      <c r="E38" s="37"/>
      <c r="F38" s="37"/>
      <c r="G38" s="351"/>
      <c r="J38" s="37"/>
      <c r="K38" s="37"/>
      <c r="L38" s="37"/>
      <c r="M38" s="37"/>
      <c r="N38" s="37"/>
      <c r="R38" s="370">
        <v>2022</v>
      </c>
      <c r="S38" s="355">
        <v>12</v>
      </c>
      <c r="T38" s="355">
        <v>24</v>
      </c>
      <c r="U38" s="368">
        <v>4900</v>
      </c>
      <c r="W38" s="369">
        <v>0.11856302654407158</v>
      </c>
      <c r="X38" s="369">
        <v>0.50447424095860949</v>
      </c>
      <c r="Y38" s="368">
        <v>25000</v>
      </c>
      <c r="Z38" s="367">
        <v>5572.8483282910993</v>
      </c>
      <c r="AA38" s="364">
        <v>36692.893373274615</v>
      </c>
      <c r="AB38" s="358">
        <v>81.237608887689561</v>
      </c>
      <c r="AC38" s="366">
        <f t="shared" si="0"/>
        <v>24</v>
      </c>
      <c r="AD38" s="365">
        <f t="shared" si="1"/>
        <v>-0.68057404502288699</v>
      </c>
      <c r="AE38" s="369">
        <v>0.10838898776216656</v>
      </c>
      <c r="AF38" s="369">
        <v>0.51791977640599629</v>
      </c>
      <c r="AG38" s="368">
        <v>25000</v>
      </c>
      <c r="AH38" s="367">
        <v>5938.6084951372677</v>
      </c>
      <c r="AI38" s="364">
        <v>36638.619116557231</v>
      </c>
      <c r="AJ38" s="358">
        <v>181.6431588400855</v>
      </c>
      <c r="AK38" s="366">
        <f t="shared" si="2"/>
        <v>24</v>
      </c>
      <c r="AL38" s="365">
        <f t="shared" si="3"/>
        <v>-1.16290161474631</v>
      </c>
      <c r="AM38" s="369">
        <v>9.6340007955764695E-2</v>
      </c>
      <c r="AN38" s="369">
        <v>0.50574592532532758</v>
      </c>
      <c r="AO38" s="368">
        <v>25000</v>
      </c>
      <c r="AP38" s="367">
        <v>6261.4733402897446</v>
      </c>
      <c r="AQ38" s="364">
        <v>36575.163551660618</v>
      </c>
      <c r="AR38" s="358">
        <v>296.03410500729535</v>
      </c>
      <c r="AS38" s="366">
        <f t="shared" si="4"/>
        <v>24</v>
      </c>
      <c r="AT38" s="365">
        <f t="shared" si="5"/>
        <v>-1.5448360375763932</v>
      </c>
      <c r="AU38" s="1"/>
      <c r="AV38" s="1"/>
    </row>
    <row r="39" spans="1:48">
      <c r="A39" s="37"/>
      <c r="B39" s="37" t="s">
        <v>375</v>
      </c>
      <c r="C39" s="351"/>
      <c r="D39" s="351"/>
      <c r="E39" s="37"/>
      <c r="F39" s="37"/>
      <c r="G39" s="351"/>
      <c r="J39" s="37"/>
      <c r="K39" s="37"/>
      <c r="L39" s="37"/>
      <c r="M39" s="37"/>
      <c r="N39" s="37"/>
      <c r="R39" s="370">
        <v>2023</v>
      </c>
      <c r="S39" s="355">
        <v>0</v>
      </c>
      <c r="T39" s="355">
        <v>12</v>
      </c>
      <c r="U39" s="368">
        <v>2200</v>
      </c>
      <c r="W39" s="369">
        <v>0</v>
      </c>
      <c r="X39" s="369">
        <v>0.11856302654407158</v>
      </c>
      <c r="Y39" s="368">
        <v>28000</v>
      </c>
      <c r="Z39" s="367">
        <v>1917.5960385311266</v>
      </c>
      <c r="AA39" s="364">
        <v>14711.824719464399</v>
      </c>
      <c r="AB39" s="358">
        <v>41.589571448219473</v>
      </c>
      <c r="AC39" s="366">
        <f t="shared" si="0"/>
        <v>12</v>
      </c>
      <c r="AD39" s="365">
        <f t="shared" si="1"/>
        <v>0.48695523496268867</v>
      </c>
      <c r="AE39" s="369">
        <v>0</v>
      </c>
      <c r="AF39" s="369">
        <v>0.10838898776216656</v>
      </c>
      <c r="AG39" s="368">
        <v>28000</v>
      </c>
      <c r="AH39" s="367">
        <v>1760.3593065896862</v>
      </c>
      <c r="AI39" s="364">
        <v>14680.841774478889</v>
      </c>
      <c r="AJ39" s="358">
        <v>109.79800463392171</v>
      </c>
      <c r="AK39" s="366">
        <f t="shared" si="2"/>
        <v>12</v>
      </c>
      <c r="AL39" s="365">
        <f t="shared" si="3"/>
        <v>0.90412957253120341</v>
      </c>
      <c r="AM39" s="369">
        <v>0</v>
      </c>
      <c r="AN39" s="369">
        <v>9.6340007955764695E-2</v>
      </c>
      <c r="AO39" s="368">
        <v>28000</v>
      </c>
      <c r="AP39" s="367">
        <v>1650.2400422772928</v>
      </c>
      <c r="AQ39" s="364">
        <v>14648.84723798194</v>
      </c>
      <c r="AR39" s="358">
        <v>183.14669585776997</v>
      </c>
      <c r="AS39" s="366">
        <f t="shared" si="4"/>
        <v>12</v>
      </c>
      <c r="AT39" s="365">
        <f t="shared" si="5"/>
        <v>1.215097318034688</v>
      </c>
      <c r="AU39" s="1"/>
      <c r="AV39" s="1"/>
    </row>
    <row r="40" spans="1:48">
      <c r="A40" s="37"/>
      <c r="B40" s="37" t="s">
        <v>374</v>
      </c>
      <c r="C40" s="351"/>
      <c r="D40" s="351"/>
      <c r="E40" s="37"/>
      <c r="F40" s="37"/>
      <c r="G40" s="37"/>
      <c r="J40" s="37"/>
      <c r="K40" s="37"/>
      <c r="L40" s="37"/>
      <c r="M40" s="37"/>
      <c r="N40" s="37"/>
      <c r="W40" s="355"/>
      <c r="X40" s="355"/>
      <c r="Y40" s="355"/>
      <c r="Z40" s="355"/>
      <c r="AA40" s="364">
        <v>472337.59952483582</v>
      </c>
      <c r="AB40" s="363">
        <v>5787.8905120570662</v>
      </c>
      <c r="AC40" s="1"/>
      <c r="AD40"/>
      <c r="AE40" s="355"/>
      <c r="AF40" s="355"/>
      <c r="AG40" s="355"/>
      <c r="AH40" s="355"/>
      <c r="AI40" s="364">
        <v>472601.28005782951</v>
      </c>
      <c r="AJ40" s="363">
        <v>4432.48259150379</v>
      </c>
      <c r="AK40" s="1"/>
      <c r="AL40"/>
      <c r="AM40" s="355"/>
      <c r="AN40" s="355"/>
      <c r="AO40" s="355"/>
      <c r="AP40" s="355"/>
      <c r="AQ40" s="364">
        <v>472345.3356368629</v>
      </c>
      <c r="AR40" s="363">
        <v>4093.4633208154564</v>
      </c>
      <c r="AS40" s="1"/>
      <c r="AT40" s="1"/>
      <c r="AU40" s="1"/>
      <c r="AV40" s="1"/>
    </row>
    <row r="41" spans="1:48" ht="16.2" thickBot="1">
      <c r="A41" s="37"/>
      <c r="B41" s="37"/>
      <c r="C41" s="37"/>
      <c r="D41" s="37"/>
      <c r="E41" s="37"/>
      <c r="F41" s="351"/>
      <c r="G41" s="37"/>
      <c r="J41" s="37"/>
      <c r="K41" s="37"/>
      <c r="L41" s="37"/>
      <c r="M41" s="37"/>
      <c r="N41" s="37"/>
      <c r="W41" s="360" t="s">
        <v>11</v>
      </c>
      <c r="X41" s="355">
        <v>1.5621935096534072</v>
      </c>
      <c r="Y41" s="354"/>
      <c r="Z41" s="354"/>
      <c r="AB41" s="170"/>
      <c r="AC41" s="1"/>
      <c r="AD41"/>
      <c r="AE41" s="362" t="s">
        <v>373</v>
      </c>
      <c r="AF41" s="355">
        <v>2.1006930617525108</v>
      </c>
      <c r="AG41" s="354"/>
      <c r="AH41" s="354"/>
      <c r="AI41" s="354"/>
      <c r="AK41" s="1"/>
      <c r="AL41"/>
      <c r="AM41" s="360" t="s">
        <v>11</v>
      </c>
      <c r="AN41" s="355">
        <v>2.0585553496326501</v>
      </c>
      <c r="AO41" s="354"/>
      <c r="AP41" s="354"/>
      <c r="AQ41" s="354"/>
      <c r="AS41" s="1"/>
      <c r="AT41" s="1"/>
      <c r="AU41" s="1"/>
      <c r="AV41" s="1"/>
    </row>
    <row r="42" spans="1:48" ht="19.2">
      <c r="A42" s="37"/>
      <c r="B42" s="350" t="str">
        <f>AC2</f>
        <v>Weibull</v>
      </c>
      <c r="C42" s="349"/>
      <c r="D42" s="349"/>
      <c r="E42" s="348"/>
      <c r="F42" s="37"/>
      <c r="G42" s="351"/>
      <c r="J42" s="37"/>
      <c r="K42" s="37"/>
      <c r="L42" s="37"/>
      <c r="M42" s="37"/>
      <c r="N42" s="37"/>
      <c r="W42" s="360" t="s">
        <v>372</v>
      </c>
      <c r="X42" s="355">
        <v>22.572632881554913</v>
      </c>
      <c r="Y42" s="354"/>
      <c r="Z42" s="354"/>
      <c r="AA42" s="359" t="s">
        <v>371</v>
      </c>
      <c r="AB42" s="361">
        <f>AB40/33</f>
        <v>175.39062157748685</v>
      </c>
      <c r="AC42"/>
      <c r="AD42"/>
      <c r="AE42" s="360" t="s">
        <v>372</v>
      </c>
      <c r="AF42" s="355">
        <v>9.7931599848208943</v>
      </c>
      <c r="AG42" s="354"/>
      <c r="AH42" s="354"/>
      <c r="AI42" s="359" t="s">
        <v>371</v>
      </c>
      <c r="AJ42" s="358">
        <f>AJ40/33</f>
        <v>134.31765428799363</v>
      </c>
      <c r="AK42"/>
      <c r="AL42"/>
      <c r="AM42" s="360" t="s">
        <v>372</v>
      </c>
      <c r="AN42" s="355">
        <v>17.80013960011545</v>
      </c>
      <c r="AO42" s="354"/>
      <c r="AP42" s="354"/>
      <c r="AQ42" s="359" t="s">
        <v>371</v>
      </c>
      <c r="AR42" s="358">
        <f>AR40/33</f>
        <v>124.04434305501383</v>
      </c>
      <c r="AS42" s="1"/>
      <c r="AT42" s="1"/>
      <c r="AU42" s="1"/>
      <c r="AV42" s="1"/>
    </row>
    <row r="43" spans="1:48" ht="16.2" thickBot="1">
      <c r="A43" s="37"/>
      <c r="B43" s="347" t="s">
        <v>363</v>
      </c>
      <c r="C43" s="346"/>
      <c r="D43" s="346"/>
      <c r="E43" s="345"/>
      <c r="F43" s="37"/>
      <c r="G43" s="37" t="s">
        <v>370</v>
      </c>
      <c r="H43" s="37"/>
      <c r="J43" s="37"/>
      <c r="K43" s="37"/>
      <c r="L43" s="37"/>
      <c r="M43" s="37"/>
      <c r="N43" s="37"/>
      <c r="W43" s="356" t="s">
        <v>10</v>
      </c>
      <c r="X43" s="355">
        <v>0.57763009937356835</v>
      </c>
      <c r="Y43" s="354"/>
      <c r="Z43" s="354"/>
      <c r="AA43" s="354"/>
      <c r="AB43" s="1"/>
      <c r="AC43"/>
      <c r="AD43"/>
      <c r="AE43" s="357" t="s">
        <v>10</v>
      </c>
      <c r="AF43" s="355">
        <v>0.5800402470156738</v>
      </c>
      <c r="AG43" s="354"/>
      <c r="AH43" s="354"/>
      <c r="AI43" s="354"/>
      <c r="AJ43" s="1"/>
      <c r="AK43"/>
      <c r="AL43"/>
      <c r="AM43" s="356" t="s">
        <v>10</v>
      </c>
      <c r="AN43" s="355">
        <v>0.61176187980083663</v>
      </c>
      <c r="AO43" s="354"/>
      <c r="AP43" s="354"/>
      <c r="AQ43" s="354"/>
      <c r="AR43"/>
      <c r="AS43" s="1"/>
      <c r="AT43" s="1"/>
      <c r="AU43" s="1"/>
      <c r="AV43" s="1"/>
    </row>
    <row r="44" spans="1:48">
      <c r="A44" s="37"/>
      <c r="B44" s="37"/>
      <c r="C44" s="37"/>
      <c r="D44" s="37"/>
      <c r="E44" s="37"/>
      <c r="F44" s="37"/>
      <c r="G44" s="37" t="s">
        <v>369</v>
      </c>
      <c r="H44" s="37"/>
      <c r="J44" s="37"/>
      <c r="K44" s="37"/>
      <c r="L44" s="37"/>
      <c r="M44" s="37"/>
      <c r="N44" s="37"/>
      <c r="W44" s="1"/>
      <c r="X44" s="1"/>
      <c r="Y44" s="1"/>
      <c r="Z44" s="1"/>
      <c r="AA44" s="1"/>
      <c r="AB44"/>
      <c r="AC44"/>
      <c r="AD44"/>
      <c r="AE44"/>
      <c r="AF44"/>
      <c r="AG44"/>
      <c r="AH44"/>
      <c r="AI44"/>
      <c r="AJ44"/>
      <c r="AK44"/>
      <c r="AL44"/>
      <c r="AM44"/>
      <c r="AN44"/>
      <c r="AO44"/>
      <c r="AP44" s="1"/>
      <c r="AQ44" s="1"/>
      <c r="AR44" s="1"/>
      <c r="AS44" s="1"/>
      <c r="AT44" s="1"/>
      <c r="AU44" s="1"/>
      <c r="AV44" s="1"/>
    </row>
    <row r="45" spans="1:48">
      <c r="A45" s="37"/>
      <c r="B45" s="37"/>
      <c r="C45" s="37"/>
      <c r="D45" s="37"/>
      <c r="E45" s="37"/>
      <c r="F45" s="37"/>
      <c r="G45" s="37" t="s">
        <v>368</v>
      </c>
      <c r="H45" s="37"/>
      <c r="J45" s="37"/>
      <c r="K45" s="37"/>
      <c r="L45" s="37"/>
      <c r="M45" s="37"/>
      <c r="N45" s="37"/>
      <c r="W45" s="1"/>
      <c r="X45" s="1"/>
      <c r="Y45" s="1"/>
      <c r="Z45" s="1"/>
      <c r="AA45" s="1"/>
      <c r="AB45"/>
      <c r="AC45"/>
      <c r="AD45"/>
      <c r="AE45"/>
      <c r="AF45"/>
      <c r="AG45"/>
      <c r="AH45"/>
      <c r="AI45"/>
      <c r="AJ45"/>
      <c r="AK45"/>
      <c r="AL45"/>
      <c r="AM45"/>
      <c r="AN45"/>
      <c r="AO45"/>
      <c r="AP45" s="1"/>
      <c r="AQ45" s="1"/>
      <c r="AR45" s="1"/>
      <c r="AS45" s="1"/>
      <c r="AT45" s="1"/>
      <c r="AU45" s="1"/>
      <c r="AV45" s="1"/>
    </row>
    <row r="46" spans="1:48">
      <c r="A46" s="37"/>
      <c r="B46" s="37"/>
      <c r="C46" s="37"/>
      <c r="D46" s="37"/>
      <c r="E46" s="37"/>
      <c r="F46" s="37"/>
      <c r="G46" s="170"/>
      <c r="H46" s="37"/>
      <c r="J46" s="37"/>
      <c r="K46" s="37"/>
      <c r="L46" s="37"/>
      <c r="M46" s="37"/>
      <c r="N46" s="37"/>
      <c r="W46" s="1"/>
      <c r="X46" s="1"/>
      <c r="Y46" s="1"/>
      <c r="Z46" s="1"/>
      <c r="AA46" s="1"/>
      <c r="AB46"/>
      <c r="AC46"/>
      <c r="AD46"/>
      <c r="AE46"/>
      <c r="AF46"/>
      <c r="AG46"/>
      <c r="AH46"/>
      <c r="AI46"/>
      <c r="AJ46"/>
      <c r="AK46"/>
      <c r="AL46"/>
      <c r="AM46"/>
      <c r="AN46"/>
      <c r="AO46"/>
      <c r="AP46" s="1"/>
      <c r="AQ46" s="1"/>
      <c r="AR46" s="1"/>
      <c r="AS46" s="1"/>
      <c r="AT46" s="1"/>
      <c r="AU46" s="1"/>
      <c r="AV46" s="1"/>
    </row>
    <row r="47" spans="1:48">
      <c r="A47" s="37"/>
      <c r="B47" s="37"/>
      <c r="C47" s="37"/>
      <c r="D47" s="37"/>
      <c r="E47" s="37"/>
      <c r="F47" s="37"/>
      <c r="G47" s="37" t="s">
        <v>367</v>
      </c>
      <c r="H47" s="37"/>
      <c r="J47" s="37"/>
      <c r="K47" s="37"/>
      <c r="L47" s="37"/>
      <c r="M47" s="37"/>
      <c r="N47" s="37"/>
      <c r="AC47"/>
      <c r="AD47"/>
      <c r="AK47"/>
      <c r="AL47"/>
      <c r="AS47" s="1"/>
      <c r="AT47" s="1"/>
      <c r="AU47" s="1"/>
      <c r="AV47" s="1"/>
    </row>
    <row r="48" spans="1:48">
      <c r="A48" s="37"/>
      <c r="B48" s="37"/>
      <c r="C48" s="37"/>
      <c r="D48" s="37"/>
      <c r="E48" s="37"/>
      <c r="F48" s="37"/>
      <c r="G48" s="352" t="s">
        <v>366</v>
      </c>
      <c r="H48" s="37"/>
      <c r="J48" s="37"/>
      <c r="K48" s="37"/>
      <c r="L48" s="37"/>
      <c r="M48" s="37"/>
      <c r="N48" s="37"/>
    </row>
    <row r="49" spans="1:14">
      <c r="A49" s="37"/>
      <c r="B49" s="37"/>
      <c r="C49" s="37"/>
      <c r="D49" s="37"/>
      <c r="E49" s="37"/>
      <c r="F49" s="37"/>
      <c r="G49" s="352" t="s">
        <v>365</v>
      </c>
      <c r="H49" s="37"/>
      <c r="J49" s="37"/>
      <c r="K49" s="37"/>
      <c r="L49" s="37"/>
      <c r="M49" s="37"/>
      <c r="N49" s="37"/>
    </row>
    <row r="50" spans="1:14">
      <c r="A50" s="37"/>
      <c r="B50" s="37"/>
      <c r="C50" s="37"/>
      <c r="D50" s="37"/>
      <c r="E50" s="37"/>
      <c r="F50" s="37"/>
      <c r="G50" s="353"/>
      <c r="H50" s="37"/>
      <c r="J50" s="37"/>
      <c r="K50" s="37"/>
      <c r="L50" s="37"/>
      <c r="M50" s="37"/>
      <c r="N50" s="37"/>
    </row>
    <row r="51" spans="1:14">
      <c r="A51" s="37"/>
      <c r="B51" s="37"/>
      <c r="C51" s="37"/>
      <c r="D51" s="37"/>
      <c r="E51" s="37"/>
      <c r="F51" s="37"/>
      <c r="G51" s="352" t="s">
        <v>364</v>
      </c>
      <c r="H51" s="37"/>
      <c r="J51" s="37"/>
      <c r="K51" s="37"/>
      <c r="L51" s="37"/>
      <c r="M51" s="37"/>
      <c r="N51" s="37"/>
    </row>
    <row r="52" spans="1:14">
      <c r="A52" s="37"/>
      <c r="B52" s="37"/>
      <c r="C52" s="37"/>
      <c r="D52" s="37"/>
      <c r="E52" s="37"/>
      <c r="F52" s="351"/>
      <c r="H52" s="37"/>
      <c r="J52" s="37"/>
      <c r="K52" s="37"/>
      <c r="L52" s="37"/>
      <c r="M52" s="37"/>
      <c r="N52" s="37"/>
    </row>
    <row r="53" spans="1:14" ht="16.2" thickBot="1">
      <c r="A53" s="37"/>
      <c r="B53" s="37"/>
      <c r="C53" s="37"/>
      <c r="D53" s="37"/>
      <c r="E53" s="37"/>
      <c r="F53" s="37"/>
      <c r="H53" s="37"/>
      <c r="I53" s="37"/>
      <c r="J53" s="37"/>
      <c r="K53" s="37"/>
      <c r="L53" s="37"/>
      <c r="M53" s="37"/>
      <c r="N53" s="37"/>
    </row>
    <row r="54" spans="1:14">
      <c r="A54" s="37"/>
      <c r="B54" s="350" t="str">
        <f>AK2</f>
        <v>Gamma</v>
      </c>
      <c r="C54" s="349"/>
      <c r="D54" s="349"/>
      <c r="E54" s="348"/>
      <c r="F54" s="37"/>
      <c r="H54" s="37"/>
      <c r="I54" s="37"/>
      <c r="J54" s="37"/>
      <c r="K54" s="37"/>
      <c r="L54" s="37"/>
      <c r="M54" s="37"/>
      <c r="N54" s="37"/>
    </row>
    <row r="55" spans="1:14" ht="16.2" thickBot="1">
      <c r="A55" s="37"/>
      <c r="B55" s="347" t="s">
        <v>363</v>
      </c>
      <c r="C55" s="346"/>
      <c r="D55" s="346"/>
      <c r="E55" s="345"/>
      <c r="F55" s="37"/>
      <c r="H55" s="37"/>
      <c r="I55" s="37"/>
      <c r="J55" s="37"/>
      <c r="K55" s="37"/>
      <c r="L55" s="37"/>
      <c r="M55" s="37"/>
      <c r="N55" s="37"/>
    </row>
    <row r="56" spans="1:14">
      <c r="A56" s="37"/>
      <c r="B56" s="37"/>
      <c r="C56" s="37"/>
      <c r="D56" s="37"/>
      <c r="E56" s="37"/>
      <c r="F56" s="37"/>
      <c r="H56" s="37"/>
      <c r="I56" s="37"/>
      <c r="J56" s="37"/>
      <c r="K56" s="37"/>
      <c r="L56" s="37"/>
      <c r="M56" s="37"/>
      <c r="N56" s="37"/>
    </row>
    <row r="57" spans="1:14">
      <c r="A57" s="37"/>
      <c r="B57" s="37"/>
      <c r="C57" s="37"/>
      <c r="D57" s="37"/>
      <c r="E57" s="37"/>
      <c r="F57" s="37"/>
      <c r="H57" s="37"/>
      <c r="I57" s="37"/>
      <c r="J57" s="37"/>
      <c r="K57" s="37"/>
      <c r="L57" s="37"/>
      <c r="M57" s="37"/>
      <c r="N57" s="37"/>
    </row>
    <row r="58" spans="1:14">
      <c r="B58" s="37"/>
      <c r="C58" s="37"/>
      <c r="D58" s="37"/>
      <c r="E58" s="37"/>
      <c r="N58" s="37"/>
    </row>
    <row r="59" spans="1:14">
      <c r="B59" s="37"/>
      <c r="C59" s="37"/>
      <c r="D59" s="37"/>
      <c r="E59" s="37"/>
      <c r="N59" s="37"/>
    </row>
    <row r="60" spans="1:14">
      <c r="B60" s="37"/>
      <c r="C60" s="37"/>
      <c r="D60" s="37"/>
      <c r="E60" s="37"/>
      <c r="N60" s="37"/>
    </row>
    <row r="61" spans="1:14">
      <c r="B61" s="37"/>
      <c r="C61" s="37"/>
      <c r="D61" s="37"/>
      <c r="E61" s="37"/>
    </row>
    <row r="62" spans="1:14">
      <c r="B62" s="37"/>
      <c r="C62" s="37"/>
      <c r="D62" s="37"/>
      <c r="E62" s="37"/>
    </row>
    <row r="63" spans="1:14">
      <c r="B63" s="37"/>
      <c r="C63" s="37"/>
      <c r="D63" s="37"/>
      <c r="E63" s="37"/>
    </row>
    <row r="64" spans="1:14">
      <c r="B64" s="37"/>
      <c r="C64" s="37"/>
      <c r="D64" s="37"/>
      <c r="E64" s="37"/>
      <c r="F64" s="351"/>
    </row>
    <row r="65" spans="2:5" ht="16.2" thickBot="1"/>
    <row r="66" spans="2:5">
      <c r="B66" s="350" t="str">
        <f>AS2</f>
        <v>Loglogistic</v>
      </c>
      <c r="C66" s="349"/>
      <c r="D66" s="349"/>
      <c r="E66" s="348"/>
    </row>
    <row r="67" spans="2:5" ht="16.2" thickBot="1">
      <c r="B67" s="347" t="s">
        <v>363</v>
      </c>
      <c r="C67" s="346"/>
      <c r="D67" s="346"/>
      <c r="E67" s="345"/>
    </row>
  </sheetData>
  <mergeCells count="11">
    <mergeCell ref="AK2:AL2"/>
    <mergeCell ref="A19:M20"/>
    <mergeCell ref="AS2:AT2"/>
    <mergeCell ref="A4:L4"/>
    <mergeCell ref="A9:L9"/>
    <mergeCell ref="A13:M14"/>
    <mergeCell ref="A17:M18"/>
    <mergeCell ref="A3:L3"/>
    <mergeCell ref="O2:P2"/>
    <mergeCell ref="R2:U2"/>
    <mergeCell ref="AC2:AD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96571-C0B9-45A7-A4E3-427815BEEB12}">
  <dimension ref="A1:Q80"/>
  <sheetViews>
    <sheetView zoomScaleNormal="100" workbookViewId="0"/>
  </sheetViews>
  <sheetFormatPr defaultColWidth="9.109375" defaultRowHeight="15.6"/>
  <cols>
    <col min="1" max="1" width="10.33203125" style="328" customWidth="1"/>
    <col min="2" max="11" width="12.33203125" style="328" customWidth="1"/>
    <col min="12" max="13" width="6.6640625" style="328" customWidth="1"/>
    <col min="14" max="14" width="17.88671875" style="328" bestFit="1" customWidth="1"/>
    <col min="15" max="16" width="12.33203125" style="328" customWidth="1"/>
    <col min="17" max="17" width="16.6640625" style="328" customWidth="1"/>
    <col min="18" max="21" width="12.33203125" style="328" customWidth="1"/>
    <col min="22" max="23" width="9.109375" style="328"/>
    <col min="24" max="25" width="11.5546875" style="328" bestFit="1" customWidth="1"/>
    <col min="26" max="16384" width="9.109375" style="328"/>
  </cols>
  <sheetData>
    <row r="1" spans="1:17" ht="18" customHeight="1">
      <c r="A1" s="23" t="s">
        <v>61</v>
      </c>
      <c r="B1" s="22"/>
      <c r="C1" s="342" t="s">
        <v>38</v>
      </c>
      <c r="D1" s="22"/>
      <c r="E1" s="22"/>
      <c r="F1" s="22"/>
      <c r="G1" s="22"/>
      <c r="H1" s="22"/>
      <c r="I1" s="22"/>
      <c r="J1" s="22"/>
      <c r="K1" s="22"/>
      <c r="L1" s="22"/>
      <c r="M1" s="22"/>
      <c r="N1" s="2"/>
      <c r="O1" s="418"/>
      <c r="P1" s="37"/>
      <c r="Q1" s="37"/>
    </row>
    <row r="2" spans="1:17" ht="15.75" customHeight="1">
      <c r="A2" s="376"/>
      <c r="B2" s="22"/>
      <c r="C2" s="22"/>
      <c r="D2" s="22"/>
      <c r="E2" s="22"/>
      <c r="F2" s="22"/>
      <c r="G2" s="22"/>
      <c r="H2" s="342"/>
      <c r="I2" s="342"/>
      <c r="J2" s="341"/>
      <c r="K2" s="341"/>
      <c r="L2" s="341"/>
      <c r="M2" s="22"/>
      <c r="N2" s="418"/>
      <c r="O2" s="418"/>
      <c r="P2" s="37"/>
      <c r="Q2" s="37"/>
    </row>
    <row r="3" spans="1:17" ht="31.2" customHeight="1">
      <c r="A3" s="1706" t="s">
        <v>461</v>
      </c>
      <c r="B3" s="1706"/>
      <c r="C3" s="1706"/>
      <c r="D3" s="1706"/>
      <c r="E3" s="1706"/>
      <c r="F3" s="1706"/>
      <c r="G3" s="1706"/>
      <c r="H3" s="1706"/>
      <c r="I3" s="1706"/>
      <c r="J3" s="1706"/>
      <c r="K3" s="1706"/>
      <c r="L3" s="1706"/>
      <c r="M3" s="340"/>
      <c r="N3" s="418"/>
      <c r="O3" s="418"/>
      <c r="P3" s="37"/>
      <c r="Q3" s="37"/>
    </row>
    <row r="4" spans="1:17">
      <c r="A4" s="389"/>
      <c r="B4" s="389"/>
      <c r="C4" s="389"/>
      <c r="D4" s="389"/>
      <c r="E4" s="389"/>
      <c r="F4" s="389"/>
      <c r="G4" s="389"/>
      <c r="H4" s="389"/>
      <c r="I4" s="389"/>
      <c r="J4" s="389"/>
      <c r="K4" s="389"/>
      <c r="L4" s="389"/>
      <c r="M4" s="340"/>
      <c r="N4" s="418"/>
      <c r="O4" s="418"/>
      <c r="P4" s="37"/>
      <c r="Q4" s="37"/>
    </row>
    <row r="5" spans="1:17">
      <c r="A5" s="1721" t="s">
        <v>179</v>
      </c>
      <c r="B5" s="1723" t="s">
        <v>358</v>
      </c>
      <c r="C5" s="1723"/>
      <c r="D5" s="1723"/>
      <c r="E5" s="1723"/>
      <c r="F5" s="1723"/>
      <c r="G5" s="1723"/>
      <c r="H5" s="1723"/>
      <c r="I5" s="1723"/>
      <c r="J5" s="1723"/>
      <c r="K5" s="1723"/>
      <c r="L5" s="2"/>
      <c r="M5" s="2"/>
      <c r="N5" s="418"/>
      <c r="O5" s="452"/>
      <c r="P5" s="37"/>
      <c r="Q5" s="37"/>
    </row>
    <row r="6" spans="1:17" ht="28.95" customHeight="1">
      <c r="A6" s="1722"/>
      <c r="B6" s="449">
        <v>1</v>
      </c>
      <c r="C6" s="449">
        <v>2</v>
      </c>
      <c r="D6" s="449">
        <v>3</v>
      </c>
      <c r="E6" s="449">
        <v>4</v>
      </c>
      <c r="F6" s="449">
        <v>5</v>
      </c>
      <c r="G6" s="449">
        <v>6</v>
      </c>
      <c r="H6" s="449">
        <v>7</v>
      </c>
      <c r="I6" s="449">
        <v>8</v>
      </c>
      <c r="J6" s="449">
        <v>9</v>
      </c>
      <c r="K6" s="449">
        <v>10</v>
      </c>
      <c r="L6" s="2"/>
      <c r="M6" s="2"/>
      <c r="N6" s="370" t="s">
        <v>460</v>
      </c>
      <c r="O6" s="453" t="s">
        <v>46</v>
      </c>
      <c r="P6" s="37"/>
      <c r="Q6" s="37"/>
    </row>
    <row r="7" spans="1:17">
      <c r="A7" s="449">
        <v>1</v>
      </c>
      <c r="B7" s="448">
        <v>30635</v>
      </c>
      <c r="C7" s="448">
        <v>75918</v>
      </c>
      <c r="D7" s="448">
        <v>103075</v>
      </c>
      <c r="E7" s="448">
        <v>125164</v>
      </c>
      <c r="F7" s="448">
        <v>141147</v>
      </c>
      <c r="G7" s="448">
        <v>148303</v>
      </c>
      <c r="H7" s="448">
        <v>156205</v>
      </c>
      <c r="I7" s="448">
        <v>162274</v>
      </c>
      <c r="J7" s="448">
        <v>162822</v>
      </c>
      <c r="K7" s="448">
        <v>167371</v>
      </c>
      <c r="L7" s="2"/>
      <c r="M7" s="2"/>
      <c r="N7" s="452"/>
      <c r="O7" s="452"/>
      <c r="P7" s="37"/>
      <c r="Q7" s="37"/>
    </row>
    <row r="8" spans="1:17">
      <c r="A8" s="449">
        <v>2</v>
      </c>
      <c r="B8" s="448">
        <v>30486</v>
      </c>
      <c r="C8" s="448">
        <v>83621</v>
      </c>
      <c r="D8" s="448">
        <v>114168</v>
      </c>
      <c r="E8" s="448">
        <v>133409</v>
      </c>
      <c r="F8" s="448">
        <v>147859</v>
      </c>
      <c r="G8" s="448">
        <v>156463</v>
      </c>
      <c r="H8" s="448">
        <v>164248</v>
      </c>
      <c r="I8" s="448">
        <v>164993</v>
      </c>
      <c r="J8" s="448">
        <v>171679</v>
      </c>
      <c r="K8" s="447">
        <f t="shared" ref="K8:K16" ca="1" si="0">J8*OFFSET($B$22,0,J$6-1)</f>
        <v>176475.45116139099</v>
      </c>
      <c r="L8" s="2"/>
      <c r="M8" s="2"/>
      <c r="N8" s="451">
        <f ca="1">(K8^2)*J$24*((1/J8)+J$25)</f>
        <v>32642419.165138327</v>
      </c>
      <c r="O8" s="450">
        <f ca="1">SQRT(N8)</f>
        <v>5713.3544582091463</v>
      </c>
      <c r="P8" s="424"/>
    </row>
    <row r="9" spans="1:17">
      <c r="A9" s="449">
        <v>3</v>
      </c>
      <c r="B9" s="448">
        <v>35418</v>
      </c>
      <c r="C9" s="448">
        <v>94329</v>
      </c>
      <c r="D9" s="448">
        <v>129403</v>
      </c>
      <c r="E9" s="448">
        <v>149407</v>
      </c>
      <c r="F9" s="448">
        <v>161144</v>
      </c>
      <c r="G9" s="448">
        <v>174302</v>
      </c>
      <c r="H9" s="448">
        <v>178234</v>
      </c>
      <c r="I9" s="448">
        <v>189111</v>
      </c>
      <c r="J9" s="447">
        <f t="shared" ref="J9:J16" ca="1" si="1">I9*OFFSET($B$22,0,I$6-1)</f>
        <v>193291.16168449615</v>
      </c>
      <c r="K9" s="447">
        <f t="shared" ca="1" si="0"/>
        <v>198691.42390030713</v>
      </c>
      <c r="L9" s="2"/>
      <c r="M9" s="2"/>
      <c r="N9" s="451" cm="1">
        <f t="array" aca="1" ref="N9" ca="1">(K9^2)*SUMPRODUCT(I$24:J$24,((1/I9:J9)+I$25:J$25))</f>
        <v>74718110.987567008</v>
      </c>
      <c r="O9" s="450">
        <f ca="1">SQRT(N9)</f>
        <v>8643.9638469608963</v>
      </c>
      <c r="P9" s="424"/>
      <c r="Q9" s="37"/>
    </row>
    <row r="10" spans="1:17">
      <c r="A10" s="449">
        <v>4</v>
      </c>
      <c r="B10" s="448">
        <v>31988</v>
      </c>
      <c r="C10" s="448">
        <v>86950</v>
      </c>
      <c r="D10" s="448">
        <v>125282</v>
      </c>
      <c r="E10" s="448">
        <v>147174</v>
      </c>
      <c r="F10" s="448">
        <v>166267</v>
      </c>
      <c r="G10" s="448">
        <v>174933</v>
      </c>
      <c r="H10" s="448">
        <v>186389</v>
      </c>
      <c r="I10" s="447">
        <f t="shared" ref="I10:I16" ca="1" si="2">H10*OFFSET($B$22,0,H$6-1)</f>
        <v>193001.1791805281</v>
      </c>
      <c r="J10" s="447">
        <f t="shared" ca="1" si="1"/>
        <v>197267.33045820642</v>
      </c>
      <c r="K10" s="447">
        <f t="shared" ca="1" si="0"/>
        <v>202778.68080554513</v>
      </c>
      <c r="L10" s="2"/>
      <c r="M10" s="2"/>
      <c r="N10" s="446">
        <v>115892053.79736833</v>
      </c>
      <c r="O10" s="445">
        <v>10765.31717123877</v>
      </c>
      <c r="P10" s="37"/>
      <c r="Q10" s="37"/>
    </row>
    <row r="11" spans="1:17">
      <c r="A11" s="449">
        <v>5</v>
      </c>
      <c r="B11" s="448">
        <v>41863</v>
      </c>
      <c r="C11" s="448">
        <v>108494</v>
      </c>
      <c r="D11" s="448">
        <v>151006</v>
      </c>
      <c r="E11" s="448">
        <v>170927</v>
      </c>
      <c r="F11" s="448">
        <v>188961</v>
      </c>
      <c r="G11" s="448">
        <v>201914</v>
      </c>
      <c r="H11" s="447">
        <f t="shared" ref="H11:H16" ca="1" si="3">G11*OFFSET($B$22,0,G$6-1)</f>
        <v>211507.98770032462</v>
      </c>
      <c r="I11" s="447">
        <f t="shared" ca="1" si="2"/>
        <v>219011.26693240096</v>
      </c>
      <c r="J11" s="447">
        <f t="shared" ca="1" si="1"/>
        <v>223852.35236108457</v>
      </c>
      <c r="K11" s="447">
        <f t="shared" ca="1" si="0"/>
        <v>230106.44794331901</v>
      </c>
      <c r="L11" s="2"/>
      <c r="M11" s="2"/>
      <c r="N11" s="446">
        <v>156394210.14824441</v>
      </c>
      <c r="O11" s="445">
        <v>12505.767075563354</v>
      </c>
      <c r="P11" s="37"/>
      <c r="Q11" s="37"/>
    </row>
    <row r="12" spans="1:17">
      <c r="A12" s="449">
        <v>6</v>
      </c>
      <c r="B12" s="448">
        <v>69271</v>
      </c>
      <c r="C12" s="448">
        <v>185534</v>
      </c>
      <c r="D12" s="448">
        <v>231294</v>
      </c>
      <c r="E12" s="448">
        <v>274553</v>
      </c>
      <c r="F12" s="448">
        <v>293180</v>
      </c>
      <c r="G12" s="447">
        <f ca="1">F12*OFFSET($B$22,0,F$6-1)</f>
        <v>311576.87408893713</v>
      </c>
      <c r="H12" s="447">
        <f t="shared" ca="1" si="3"/>
        <v>326381.51714347943</v>
      </c>
      <c r="I12" s="447">
        <f t="shared" ca="1" si="2"/>
        <v>337959.95295549242</v>
      </c>
      <c r="J12" s="447">
        <f t="shared" ca="1" si="1"/>
        <v>345430.31293581444</v>
      </c>
      <c r="K12" s="447">
        <f t="shared" ca="1" si="0"/>
        <v>355081.11254240951</v>
      </c>
      <c r="L12" s="2"/>
      <c r="M12" s="2"/>
      <c r="N12" s="446">
        <v>308607047.92511749</v>
      </c>
      <c r="O12" s="445">
        <v>17567.215144271373</v>
      </c>
      <c r="P12" s="37"/>
      <c r="Q12" s="37"/>
    </row>
    <row r="13" spans="1:17">
      <c r="A13" s="449">
        <v>7</v>
      </c>
      <c r="B13" s="448">
        <v>70874</v>
      </c>
      <c r="C13" s="448">
        <v>176227</v>
      </c>
      <c r="D13" s="448">
        <v>230361</v>
      </c>
      <c r="E13" s="448">
        <v>258473</v>
      </c>
      <c r="F13" s="447">
        <f ca="1">E13*OFFSET($B$22,0,E$6-1)</f>
        <v>283767.67322917271</v>
      </c>
      <c r="G13" s="447">
        <f ca="1">F13*OFFSET($B$22,0,F$6-1)</f>
        <v>301573.92930021352</v>
      </c>
      <c r="H13" s="447">
        <f t="shared" ca="1" si="3"/>
        <v>315903.28025381168</v>
      </c>
      <c r="I13" s="447">
        <f t="shared" ca="1" si="2"/>
        <v>327109.99895907211</v>
      </c>
      <c r="J13" s="447">
        <f t="shared" ca="1" si="1"/>
        <v>334340.52856477612</v>
      </c>
      <c r="K13" s="447">
        <f t="shared" ca="1" si="0"/>
        <v>343681.49639738578</v>
      </c>
      <c r="L13" s="2"/>
      <c r="M13" s="2"/>
      <c r="N13" s="446">
        <v>350016681.81506145</v>
      </c>
      <c r="O13" s="445">
        <v>18708.732768818456</v>
      </c>
      <c r="P13" s="37"/>
      <c r="Q13" s="37"/>
    </row>
    <row r="14" spans="1:17">
      <c r="A14" s="449">
        <v>8</v>
      </c>
      <c r="B14" s="448">
        <v>60124</v>
      </c>
      <c r="C14" s="448">
        <v>147680</v>
      </c>
      <c r="D14" s="448">
        <v>193988</v>
      </c>
      <c r="E14" s="447">
        <f ca="1">D14*OFFSET($B$22,0,D$6-1)</f>
        <v>225202.03387273892</v>
      </c>
      <c r="F14" s="447">
        <f ca="1">E14*OFFSET($B$22,0,E$6-1)</f>
        <v>247240.74529465154</v>
      </c>
      <c r="G14" s="447">
        <f ca="1">F14*OFFSET($B$22,0,F$6-1)</f>
        <v>262754.95793139579</v>
      </c>
      <c r="H14" s="447">
        <f t="shared" ca="1" si="3"/>
        <v>275239.81700304575</v>
      </c>
      <c r="I14" s="447">
        <f t="shared" ca="1" si="2"/>
        <v>285003.99293424288</v>
      </c>
      <c r="J14" s="447">
        <f t="shared" ca="1" si="1"/>
        <v>291303.79977357079</v>
      </c>
      <c r="K14" s="447">
        <f t="shared" ca="1" si="0"/>
        <v>299442.38660563267</v>
      </c>
      <c r="L14" s="2"/>
      <c r="M14" s="2"/>
      <c r="N14" s="446">
        <v>352174635.35246181</v>
      </c>
      <c r="O14" s="445">
        <v>18766.316509972377</v>
      </c>
      <c r="P14" s="37"/>
      <c r="Q14" s="37"/>
    </row>
    <row r="15" spans="1:17">
      <c r="A15" s="449">
        <v>9</v>
      </c>
      <c r="B15" s="448">
        <v>61571</v>
      </c>
      <c r="C15" s="448">
        <v>146296</v>
      </c>
      <c r="D15" s="447">
        <f ca="1">C15*OFFSET($B$22,0,C$6-1)</f>
        <v>195097.90403993521</v>
      </c>
      <c r="E15" s="447">
        <f ca="1">D15*OFFSET($B$22,0,D$6-1)</f>
        <v>226490.52928068672</v>
      </c>
      <c r="F15" s="447">
        <f ca="1">E15*OFFSET($B$22,0,E$6-1)</f>
        <v>248655.33538289991</v>
      </c>
      <c r="G15" s="447">
        <f ca="1">F15*OFFSET($B$22,0,F$6-1)</f>
        <v>264258.31272303784</v>
      </c>
      <c r="H15" s="447">
        <f t="shared" ca="1" si="3"/>
        <v>276814.60402514349</v>
      </c>
      <c r="I15" s="447">
        <f t="shared" ca="1" si="2"/>
        <v>286634.64577439468</v>
      </c>
      <c r="J15" s="447">
        <f t="shared" ca="1" si="1"/>
        <v>292970.49701369466</v>
      </c>
      <c r="K15" s="447">
        <f t="shared" ca="1" si="0"/>
        <v>301155.64884155145</v>
      </c>
      <c r="L15" s="2"/>
      <c r="M15" s="2"/>
      <c r="N15" s="446">
        <v>539717567.59312928</v>
      </c>
      <c r="O15" s="445">
        <v>23231.822304613328</v>
      </c>
      <c r="P15" s="37"/>
      <c r="Q15" s="37"/>
    </row>
    <row r="16" spans="1:17">
      <c r="A16" s="449">
        <v>10</v>
      </c>
      <c r="B16" s="448">
        <v>48754</v>
      </c>
      <c r="C16" s="447">
        <f ca="1">B16*OFFSET($B$22,0,B$6-1)</f>
        <v>124645.57977465702</v>
      </c>
      <c r="D16" s="447">
        <f ca="1">C16*OFFSET($B$22,0,C$6-1)</f>
        <v>166225.26495514659</v>
      </c>
      <c r="E16" s="447">
        <f ca="1">D16*OFFSET($B$22,0,D$6-1)</f>
        <v>192972.07945302763</v>
      </c>
      <c r="F16" s="447">
        <f ca="1">E16*OFFSET($B$22,0,E$6-1)</f>
        <v>211856.70450910038</v>
      </c>
      <c r="G16" s="447">
        <f ca="1">F16*OFFSET($B$22,0,F$6-1)</f>
        <v>225150.58921389293</v>
      </c>
      <c r="H16" s="447">
        <f t="shared" ca="1" si="3"/>
        <v>235848.66851319329</v>
      </c>
      <c r="I16" s="447">
        <f t="shared" ca="1" si="2"/>
        <v>244215.43723719634</v>
      </c>
      <c r="J16" s="447">
        <f t="shared" ca="1" si="1"/>
        <v>249613.64259543255</v>
      </c>
      <c r="K16" s="447">
        <f t="shared" ca="1" si="0"/>
        <v>256587.46959772109</v>
      </c>
      <c r="L16" s="2"/>
      <c r="M16" s="2"/>
      <c r="N16" s="446">
        <v>627797360.92388046</v>
      </c>
      <c r="O16" s="445">
        <v>25055.884756357747</v>
      </c>
      <c r="P16" s="37"/>
      <c r="Q16" s="37"/>
    </row>
    <row r="17" spans="1:17">
      <c r="A17" s="439"/>
      <c r="B17" s="439"/>
      <c r="C17" s="439"/>
      <c r="D17" s="439"/>
      <c r="E17" s="439"/>
      <c r="F17" s="439"/>
      <c r="G17" s="439"/>
      <c r="H17" s="439"/>
      <c r="I17" s="439"/>
      <c r="J17" s="439"/>
      <c r="K17" s="439"/>
      <c r="L17" s="439"/>
      <c r="M17" s="439"/>
      <c r="N17" s="439"/>
      <c r="O17" s="438"/>
      <c r="P17" s="37"/>
      <c r="Q17" s="37"/>
    </row>
    <row r="18" spans="1:17">
      <c r="A18" s="444" t="s">
        <v>80</v>
      </c>
      <c r="B18" s="1724" t="s">
        <v>459</v>
      </c>
      <c r="C18" s="1724"/>
      <c r="D18" s="1724"/>
      <c r="E18" s="1724"/>
      <c r="F18" s="1724"/>
      <c r="G18" s="1724"/>
      <c r="H18" s="1724"/>
      <c r="I18" s="1724"/>
      <c r="J18" s="1724"/>
      <c r="K18" s="1724"/>
      <c r="L18" s="1724"/>
      <c r="M18" s="22"/>
      <c r="N18" s="439"/>
      <c r="O18" s="438"/>
      <c r="P18" s="37"/>
      <c r="Q18" s="37"/>
    </row>
    <row r="19" spans="1:17" ht="16.2">
      <c r="A19" s="439"/>
      <c r="B19" s="443" t="s">
        <v>458</v>
      </c>
      <c r="C19" s="442"/>
      <c r="D19" s="442"/>
      <c r="E19" s="442"/>
      <c r="F19" s="442"/>
      <c r="G19" s="439"/>
      <c r="H19" s="439"/>
      <c r="I19" s="439"/>
      <c r="J19" s="439"/>
      <c r="K19" s="439"/>
      <c r="L19" s="439"/>
      <c r="M19" s="439"/>
      <c r="N19" s="439"/>
      <c r="O19" s="438"/>
      <c r="P19" s="37"/>
      <c r="Q19" s="37"/>
    </row>
    <row r="20" spans="1:17" ht="16.2">
      <c r="A20" s="439"/>
      <c r="B20" s="441" t="s">
        <v>457</v>
      </c>
      <c r="C20" s="441"/>
      <c r="D20" s="321"/>
      <c r="E20" s="440"/>
      <c r="F20" s="440"/>
      <c r="G20" s="439"/>
      <c r="H20" s="439"/>
      <c r="I20" s="439"/>
      <c r="J20" s="439"/>
      <c r="K20" s="439"/>
      <c r="L20" s="439"/>
      <c r="M20" s="439"/>
      <c r="N20" s="439"/>
      <c r="O20" s="438"/>
      <c r="P20" s="37"/>
      <c r="Q20" s="37"/>
    </row>
    <row r="21" spans="1:17">
      <c r="A21" s="437" t="s">
        <v>456</v>
      </c>
      <c r="B21" s="436">
        <v>1</v>
      </c>
      <c r="C21" s="436">
        <v>2</v>
      </c>
      <c r="D21" s="436">
        <v>3</v>
      </c>
      <c r="E21" s="436">
        <v>4</v>
      </c>
      <c r="F21" s="436">
        <v>5</v>
      </c>
      <c r="G21" s="436">
        <v>6</v>
      </c>
      <c r="H21" s="436">
        <v>7</v>
      </c>
      <c r="I21" s="436">
        <v>8</v>
      </c>
      <c r="J21" s="436">
        <v>9</v>
      </c>
      <c r="K21" s="1"/>
      <c r="L21" s="1"/>
      <c r="M21" s="1"/>
      <c r="N21" s="37"/>
      <c r="O21" s="37"/>
      <c r="P21" s="37"/>
      <c r="Q21" s="37"/>
    </row>
    <row r="22" spans="1:17" ht="19.649999999999999" customHeight="1">
      <c r="A22" s="435" t="s">
        <v>455</v>
      </c>
      <c r="B22" s="434">
        <f t="shared" ref="B22:J22" ca="1" si="4">SUM(OFFSET(C7,0,0,11-C6,1))/SUM(OFFSET(B7,0,0,10-B6,1))</f>
        <v>2.5566226314693568</v>
      </c>
      <c r="C22" s="434">
        <f t="shared" ca="1" si="4"/>
        <v>1.3335833108214525</v>
      </c>
      <c r="D22" s="434">
        <f t="shared" ca="1" si="4"/>
        <v>1.1609070348307056</v>
      </c>
      <c r="E22" s="434">
        <f t="shared" ca="1" si="4"/>
        <v>1.0978619555202003</v>
      </c>
      <c r="F22" s="434">
        <f t="shared" ca="1" si="4"/>
        <v>1.0627494170439222</v>
      </c>
      <c r="G22" s="434">
        <f t="shared" ca="1" si="4"/>
        <v>1.0475152178666394</v>
      </c>
      <c r="H22" s="434">
        <f t="shared" ca="1" si="4"/>
        <v>1.0354751577642891</v>
      </c>
      <c r="I22" s="434">
        <f t="shared" ca="1" si="4"/>
        <v>1.022104275713714</v>
      </c>
      <c r="J22" s="434">
        <f t="shared" ca="1" si="4"/>
        <v>1.0279384849713185</v>
      </c>
      <c r="K22" s="433"/>
      <c r="L22" s="1"/>
      <c r="M22" s="1"/>
      <c r="N22" s="429"/>
      <c r="O22" s="37"/>
      <c r="P22" s="37"/>
      <c r="Q22" s="37"/>
    </row>
    <row r="23" spans="1:17" ht="19.649999999999999" customHeight="1">
      <c r="A23" s="428"/>
      <c r="B23" s="432">
        <v>815.65894915743581</v>
      </c>
      <c r="C23" s="432">
        <v>459.91841023265857</v>
      </c>
      <c r="D23" s="432">
        <v>160.40589721446747</v>
      </c>
      <c r="E23" s="432">
        <v>117.70090747483717</v>
      </c>
      <c r="F23" s="432">
        <v>26.573645815642635</v>
      </c>
      <c r="G23" s="432">
        <v>56.929024402387348</v>
      </c>
      <c r="H23" s="432">
        <v>137.68558209796856</v>
      </c>
      <c r="I23" s="431">
        <f t="array" aca="1" ref="I23" ca="1">(SUMPRODUCT(OFFSET(I7,0,0,10-I6,1),OFFSET(J7,0,0,10-I6,1)/OFFSET(I7,0,0,10-I6,1)-I22,OFFSET(J7,0,0,10-I6,1)/OFFSET(I7,0,0,10-I6,1)-I22))/(9-I6)</f>
        <v>112.88458636813399</v>
      </c>
      <c r="J23" s="431">
        <f ca="1">I23*I23/H23</f>
        <v>92.550938488516692</v>
      </c>
      <c r="K23" s="430" t="s">
        <v>220</v>
      </c>
      <c r="L23" s="1"/>
      <c r="M23" s="1"/>
      <c r="N23" s="429"/>
      <c r="O23" s="37"/>
      <c r="P23" s="37"/>
      <c r="Q23" s="37"/>
    </row>
    <row r="24" spans="1:17" ht="19.649999999999999" customHeight="1">
      <c r="A24" s="428"/>
      <c r="B24" s="426">
        <v>124.78872500697653</v>
      </c>
      <c r="C24" s="426">
        <v>258.60712772555308</v>
      </c>
      <c r="D24" s="426">
        <v>119.02150703052205</v>
      </c>
      <c r="E24" s="426">
        <v>97.652718980368746</v>
      </c>
      <c r="F24" s="426">
        <v>23.52823728477825</v>
      </c>
      <c r="G24" s="426">
        <v>51.881563975498558</v>
      </c>
      <c r="H24" s="426">
        <v>128.41303092885062</v>
      </c>
      <c r="I24" s="425">
        <f ca="1">I23/I22/I22</f>
        <v>108.05484280437317</v>
      </c>
      <c r="J24" s="425">
        <f ca="1">J23/J22/J22</f>
        <v>87.588396390045517</v>
      </c>
      <c r="K24" s="424"/>
      <c r="L24" s="1"/>
      <c r="M24" s="1"/>
      <c r="N24" s="37"/>
      <c r="O24" s="37"/>
      <c r="P24" s="37"/>
      <c r="Q24" s="37"/>
    </row>
    <row r="25" spans="1:17" ht="33" customHeight="1">
      <c r="A25" s="427"/>
      <c r="B25" s="426">
        <v>2.3135830460634384E-6</v>
      </c>
      <c r="C25" s="426">
        <v>1.0430215081465194E-6</v>
      </c>
      <c r="D25" s="426">
        <v>9.2200824459772316E-7</v>
      </c>
      <c r="E25" s="426">
        <v>9.9936640170132137E-7</v>
      </c>
      <c r="F25" s="426">
        <v>1.2416529877895846E-6</v>
      </c>
      <c r="G25" s="426">
        <v>1.5290496497711776E-6</v>
      </c>
      <c r="H25" s="426">
        <v>2.0052658280644976E-6</v>
      </c>
      <c r="I25" s="425">
        <f>1/SUM(I7:I8)</f>
        <v>3.0556090287135581E-6</v>
      </c>
      <c r="J25" s="425">
        <f>1/J7</f>
        <v>6.1416761862647552E-6</v>
      </c>
      <c r="K25" s="424"/>
      <c r="L25" s="1"/>
      <c r="M25" s="1"/>
      <c r="N25" s="37"/>
      <c r="O25" s="37"/>
      <c r="P25" s="37"/>
      <c r="Q25" s="37"/>
    </row>
    <row r="26" spans="1:17">
      <c r="A26" s="424"/>
      <c r="B26" s="424"/>
      <c r="C26" s="424"/>
      <c r="D26" s="424"/>
      <c r="E26" s="424"/>
      <c r="F26" s="424"/>
      <c r="G26" s="424"/>
      <c r="H26" s="424"/>
      <c r="I26" s="424"/>
      <c r="J26" s="424"/>
      <c r="K26" s="424"/>
      <c r="L26" s="1"/>
      <c r="M26" s="1"/>
      <c r="N26" s="37"/>
      <c r="O26" s="37"/>
      <c r="P26" s="37"/>
      <c r="Q26" s="37"/>
    </row>
    <row r="27" spans="1:17">
      <c r="A27" s="22" t="s">
        <v>9</v>
      </c>
      <c r="B27" s="22" t="s">
        <v>454</v>
      </c>
      <c r="C27" s="22"/>
      <c r="D27" s="22"/>
      <c r="E27" s="423"/>
      <c r="F27" s="319"/>
      <c r="G27" s="423"/>
      <c r="H27" s="22"/>
      <c r="I27" s="22"/>
      <c r="J27" s="22"/>
      <c r="K27" s="22"/>
      <c r="L27" s="22"/>
      <c r="M27" s="22"/>
      <c r="N27" s="37"/>
      <c r="O27" s="37"/>
      <c r="P27" s="37"/>
      <c r="Q27" s="37"/>
    </row>
    <row r="28" spans="1:17" ht="16.2">
      <c r="A28" s="342"/>
      <c r="B28" s="422" t="s">
        <v>453</v>
      </c>
      <c r="C28" s="422"/>
      <c r="D28" s="421"/>
      <c r="E28" s="341"/>
      <c r="F28" s="22"/>
      <c r="G28" s="22"/>
      <c r="H28" s="22"/>
      <c r="I28" s="22"/>
      <c r="J28" s="22"/>
      <c r="K28" s="22"/>
      <c r="L28" s="22"/>
      <c r="M28" s="22"/>
      <c r="N28" s="37"/>
      <c r="O28" s="37"/>
      <c r="P28" s="37"/>
      <c r="Q28" s="37"/>
    </row>
    <row r="29" spans="1:17" ht="16.2">
      <c r="A29" s="420"/>
      <c r="B29" s="420"/>
      <c r="C29" s="420"/>
      <c r="D29" s="419"/>
      <c r="E29" s="419"/>
      <c r="F29" s="418"/>
      <c r="G29" s="418"/>
      <c r="H29" s="418"/>
      <c r="I29" s="418"/>
      <c r="J29" s="418"/>
      <c r="K29" s="418"/>
      <c r="L29" s="418"/>
      <c r="M29" s="418"/>
      <c r="N29" s="37"/>
      <c r="O29" s="37"/>
      <c r="P29" s="37"/>
      <c r="Q29" s="37"/>
    </row>
    <row r="30" spans="1:17">
      <c r="A30" s="22" t="s">
        <v>7</v>
      </c>
      <c r="B30" s="1706" t="s">
        <v>452</v>
      </c>
      <c r="C30" s="1706"/>
      <c r="D30" s="1706"/>
      <c r="E30" s="1706"/>
      <c r="F30" s="1706"/>
      <c r="G30" s="1706"/>
      <c r="H30" s="1706"/>
      <c r="I30" s="1706"/>
      <c r="J30" s="1706"/>
      <c r="K30" s="1706"/>
      <c r="L30" s="1706"/>
      <c r="M30" s="22"/>
    </row>
    <row r="31" spans="1:17" ht="16.2">
      <c r="A31" s="342"/>
      <c r="B31" s="417" t="s">
        <v>64</v>
      </c>
      <c r="C31" s="417"/>
      <c r="D31" s="416"/>
      <c r="E31" s="341"/>
      <c r="F31" s="22"/>
      <c r="G31" s="22"/>
      <c r="H31" s="22"/>
      <c r="I31" s="22"/>
      <c r="J31" s="22"/>
      <c r="K31" s="22"/>
      <c r="L31" s="22"/>
      <c r="M31" s="22"/>
    </row>
    <row r="32" spans="1:17">
      <c r="A32" s="37"/>
      <c r="B32" s="37"/>
      <c r="C32" s="327"/>
      <c r="D32" s="37"/>
      <c r="E32" s="37"/>
      <c r="F32" s="37"/>
      <c r="G32" s="37"/>
      <c r="H32" s="37"/>
      <c r="I32" s="37"/>
      <c r="J32" s="37"/>
      <c r="K32" s="37"/>
      <c r="L32" s="37"/>
      <c r="M32" s="37"/>
    </row>
    <row r="33" spans="1:13">
      <c r="A33" s="37"/>
      <c r="B33" s="246" t="s">
        <v>451</v>
      </c>
      <c r="C33" s="415">
        <f ca="1">O8</f>
        <v>5713.3544582091463</v>
      </c>
      <c r="D33" s="37"/>
      <c r="E33" s="37"/>
      <c r="F33" s="37"/>
      <c r="G33" s="37"/>
      <c r="H33" s="37"/>
      <c r="I33" s="37"/>
      <c r="J33" s="37"/>
      <c r="K33" s="37"/>
      <c r="L33" s="37"/>
      <c r="M33" s="37"/>
    </row>
    <row r="34" spans="1:13">
      <c r="A34" s="37"/>
      <c r="B34" s="246" t="s">
        <v>450</v>
      </c>
      <c r="C34" s="415">
        <f ca="1">O9</f>
        <v>8643.9638469608963</v>
      </c>
      <c r="D34" s="37"/>
      <c r="E34" s="37"/>
      <c r="F34" s="37"/>
      <c r="G34" s="37"/>
      <c r="H34" s="37"/>
      <c r="I34" s="37"/>
      <c r="J34" s="37"/>
      <c r="K34" s="37"/>
      <c r="L34" s="37"/>
      <c r="M34" s="37"/>
    </row>
    <row r="35" spans="1:13">
      <c r="A35" s="37"/>
      <c r="B35" s="192"/>
      <c r="C35" s="192"/>
      <c r="D35" s="37"/>
      <c r="E35" s="37"/>
      <c r="F35" s="37"/>
      <c r="G35" s="37"/>
      <c r="H35" s="37"/>
      <c r="I35" s="37"/>
      <c r="J35" s="37"/>
      <c r="K35" s="37"/>
      <c r="L35" s="37"/>
      <c r="M35" s="37"/>
    </row>
    <row r="36" spans="1:13">
      <c r="A36" s="292" t="s">
        <v>4</v>
      </c>
      <c r="B36" s="1719" t="s">
        <v>449</v>
      </c>
      <c r="C36" s="1719"/>
      <c r="D36" s="1719"/>
      <c r="E36" s="1719"/>
      <c r="F36" s="1719"/>
      <c r="G36" s="1719"/>
      <c r="H36" s="1719"/>
      <c r="I36" s="1719"/>
      <c r="J36" s="1719"/>
      <c r="K36" s="1719"/>
      <c r="L36" s="1719"/>
      <c r="M36" s="22"/>
    </row>
    <row r="37" spans="1:13">
      <c r="A37" s="405"/>
      <c r="B37" s="1719" t="s">
        <v>448</v>
      </c>
      <c r="C37" s="1719"/>
      <c r="D37" s="1719"/>
      <c r="E37" s="1719"/>
      <c r="F37" s="1719"/>
      <c r="G37" s="1719"/>
      <c r="H37" s="1719"/>
      <c r="I37" s="1719"/>
      <c r="J37" s="1719"/>
      <c r="K37" s="1719"/>
      <c r="L37" s="1719"/>
      <c r="M37" s="22"/>
    </row>
    <row r="38" spans="1:13" ht="16.2">
      <c r="A38" s="403"/>
      <c r="B38" s="403" t="s">
        <v>64</v>
      </c>
      <c r="C38" s="403"/>
      <c r="D38" s="401"/>
      <c r="E38" s="401"/>
      <c r="F38" s="292"/>
      <c r="G38" s="292"/>
      <c r="H38" s="292"/>
      <c r="I38" s="292"/>
      <c r="J38" s="292"/>
      <c r="K38" s="292"/>
      <c r="L38" s="292"/>
      <c r="M38" s="22"/>
    </row>
    <row r="39" spans="1:13" ht="16.2" thickBot="1">
      <c r="A39" s="217"/>
      <c r="B39" s="217"/>
      <c r="C39" s="414"/>
      <c r="D39" s="217"/>
      <c r="E39" s="217"/>
      <c r="F39" s="217"/>
      <c r="G39" s="217"/>
      <c r="H39" s="217"/>
      <c r="I39" s="217"/>
      <c r="J39" s="217"/>
      <c r="K39" s="217"/>
      <c r="L39" s="217"/>
      <c r="M39" s="37"/>
    </row>
    <row r="40" spans="1:13" ht="16.2" thickBot="1">
      <c r="A40" s="413"/>
      <c r="B40" s="412"/>
      <c r="C40" s="411" t="s">
        <v>447</v>
      </c>
      <c r="D40" s="410">
        <f ca="1">EXP(G43-1.96*SQRT(G42))</f>
        <v>73450.350573460906</v>
      </c>
      <c r="E40" s="217"/>
      <c r="F40" s="409" t="s">
        <v>446</v>
      </c>
      <c r="G40" s="1725">
        <f ca="1">K14-D14</f>
        <v>105454.38660563267</v>
      </c>
      <c r="H40" s="1725"/>
      <c r="I40" s="217"/>
      <c r="J40" s="217"/>
      <c r="K40" s="217"/>
      <c r="L40" s="217"/>
      <c r="M40" s="37"/>
    </row>
    <row r="41" spans="1:13" ht="16.2" thickBot="1">
      <c r="A41" s="413"/>
      <c r="B41" s="412"/>
      <c r="C41" s="411" t="s">
        <v>445</v>
      </c>
      <c r="D41" s="410">
        <f ca="1">EXP(G43+1.96*SQRT(G42))</f>
        <v>146755.78068970289</v>
      </c>
      <c r="E41" s="217"/>
      <c r="F41" s="409" t="s">
        <v>444</v>
      </c>
      <c r="G41" s="1725">
        <f>N14</f>
        <v>352174635.35246181</v>
      </c>
      <c r="H41" s="1725"/>
      <c r="I41" s="217"/>
      <c r="J41" s="217"/>
      <c r="K41" s="217"/>
      <c r="L41" s="217"/>
      <c r="M41" s="37"/>
    </row>
    <row r="42" spans="1:13" ht="18.600000000000001">
      <c r="A42" s="217"/>
      <c r="B42" s="397"/>
      <c r="C42" s="397"/>
      <c r="D42" s="217"/>
      <c r="E42" s="217"/>
      <c r="F42" s="409" t="s">
        <v>443</v>
      </c>
      <c r="G42" s="1726">
        <f ca="1">LN(1+G41/G40/G40)</f>
        <v>3.1177485043334278E-2</v>
      </c>
      <c r="H42" s="1726"/>
      <c r="I42" s="217"/>
      <c r="J42" s="217"/>
      <c r="K42" s="217"/>
      <c r="L42" s="217"/>
      <c r="M42" s="37"/>
    </row>
    <row r="43" spans="1:13">
      <c r="A43" s="217"/>
      <c r="B43" s="397"/>
      <c r="C43" s="397"/>
      <c r="D43" s="217"/>
      <c r="E43" s="217"/>
      <c r="F43" s="409" t="s">
        <v>442</v>
      </c>
      <c r="G43" s="1726">
        <f ca="1">LN(G40)-G42/2</f>
        <v>11.550445041435479</v>
      </c>
      <c r="H43" s="1726"/>
      <c r="I43" s="217"/>
      <c r="J43" s="217"/>
      <c r="K43" s="217"/>
      <c r="L43" s="217"/>
      <c r="M43" s="37"/>
    </row>
    <row r="44" spans="1:13">
      <c r="A44" s="217"/>
      <c r="B44" s="217"/>
      <c r="C44" s="217"/>
      <c r="D44" s="217"/>
      <c r="E44" s="217"/>
      <c r="F44" s="217"/>
      <c r="G44" s="217"/>
      <c r="H44" s="217"/>
      <c r="I44" s="217"/>
      <c r="J44" s="217"/>
      <c r="K44" s="217"/>
      <c r="L44" s="217"/>
      <c r="M44" s="37"/>
    </row>
    <row r="45" spans="1:13">
      <c r="A45" s="1706" t="s">
        <v>441</v>
      </c>
      <c r="B45" s="1706"/>
      <c r="C45" s="1706"/>
      <c r="D45" s="1706"/>
      <c r="E45" s="1706"/>
      <c r="F45" s="1706"/>
      <c r="G45" s="1706"/>
      <c r="H45" s="1706"/>
      <c r="I45" s="1706"/>
      <c r="J45" s="1706"/>
      <c r="K45" s="1706"/>
      <c r="L45" s="1706"/>
      <c r="M45" s="22"/>
    </row>
    <row r="46" spans="1:13" ht="16.2">
      <c r="A46" s="408"/>
      <c r="B46" s="22"/>
      <c r="C46" s="22"/>
      <c r="D46" s="22"/>
      <c r="E46" s="22"/>
      <c r="F46" s="22"/>
      <c r="G46" s="22"/>
      <c r="H46" s="342"/>
      <c r="I46" s="342"/>
      <c r="J46" s="341"/>
      <c r="K46" s="341"/>
      <c r="L46" s="341"/>
      <c r="M46" s="22"/>
    </row>
    <row r="47" spans="1:13">
      <c r="A47" s="375" t="s">
        <v>48</v>
      </c>
      <c r="B47" s="1706" t="s">
        <v>440</v>
      </c>
      <c r="C47" s="1706"/>
      <c r="D47" s="1706"/>
      <c r="E47" s="1706"/>
      <c r="F47" s="1706"/>
      <c r="G47" s="1706"/>
      <c r="H47" s="1706"/>
      <c r="I47" s="1706"/>
      <c r="J47" s="1706"/>
      <c r="K47" s="1706"/>
      <c r="L47" s="1706"/>
      <c r="M47" s="22"/>
    </row>
    <row r="48" spans="1:13" ht="16.2">
      <c r="A48" s="342"/>
      <c r="B48" s="342" t="s">
        <v>64</v>
      </c>
      <c r="C48" s="342"/>
      <c r="D48" s="341"/>
      <c r="E48" s="341"/>
      <c r="F48" s="22"/>
      <c r="G48" s="22"/>
      <c r="H48" s="22"/>
      <c r="I48" s="22"/>
      <c r="J48" s="22"/>
      <c r="K48" s="22"/>
      <c r="L48" s="22"/>
      <c r="M48" s="22"/>
    </row>
    <row r="49" spans="1:13">
      <c r="A49" s="1718" t="s">
        <v>439</v>
      </c>
      <c r="B49" s="1718"/>
      <c r="C49" s="1718"/>
      <c r="D49" s="1718"/>
      <c r="E49" s="1718"/>
      <c r="F49" s="1718"/>
      <c r="G49" s="1718"/>
      <c r="H49" s="1718"/>
      <c r="I49" s="1718"/>
      <c r="J49" s="1718"/>
      <c r="K49" s="1718"/>
      <c r="L49" s="1718"/>
      <c r="M49" s="1718"/>
    </row>
    <row r="50" spans="1:13">
      <c r="A50" s="1718"/>
      <c r="B50" s="1718"/>
      <c r="C50" s="1718"/>
      <c r="D50" s="1718"/>
      <c r="E50" s="1718"/>
      <c r="F50" s="1718"/>
      <c r="G50" s="1718"/>
      <c r="H50" s="1718"/>
      <c r="I50" s="1718"/>
      <c r="J50" s="1718"/>
      <c r="K50" s="1718"/>
      <c r="L50" s="1718"/>
      <c r="M50" s="1718"/>
    </row>
    <row r="51" spans="1:13">
      <c r="A51" s="1718"/>
      <c r="B51" s="1718"/>
      <c r="C51" s="1718"/>
      <c r="D51" s="1718"/>
      <c r="E51" s="1718"/>
      <c r="F51" s="1718"/>
      <c r="G51" s="1718"/>
      <c r="H51" s="1718"/>
      <c r="I51" s="1718"/>
      <c r="J51" s="1718"/>
      <c r="K51" s="1718"/>
      <c r="L51" s="1718"/>
      <c r="M51" s="1718"/>
    </row>
    <row r="52" spans="1:13" ht="15.6" customHeight="1">
      <c r="A52" s="375" t="s">
        <v>129</v>
      </c>
      <c r="B52" s="1706" t="s">
        <v>438</v>
      </c>
      <c r="C52" s="1706"/>
      <c r="D52" s="1706"/>
      <c r="E52" s="1706"/>
      <c r="F52" s="1706"/>
      <c r="G52" s="1706"/>
      <c r="H52" s="1706"/>
      <c r="I52" s="1706"/>
      <c r="J52" s="1706"/>
      <c r="K52" s="1706"/>
      <c r="L52" s="1706"/>
      <c r="M52" s="22"/>
    </row>
    <row r="53" spans="1:13" ht="16.2">
      <c r="A53" s="342"/>
      <c r="B53" s="342" t="s">
        <v>64</v>
      </c>
      <c r="C53" s="342"/>
      <c r="D53" s="341"/>
      <c r="E53" s="341"/>
      <c r="F53" s="22"/>
      <c r="G53" s="22"/>
      <c r="H53" s="22"/>
      <c r="I53" s="22"/>
      <c r="J53" s="22"/>
      <c r="K53" s="22"/>
      <c r="L53" s="22"/>
      <c r="M53" s="22"/>
    </row>
    <row r="54" spans="1:13">
      <c r="A54" s="1718" t="s">
        <v>437</v>
      </c>
      <c r="B54" s="1718"/>
      <c r="C54" s="1718"/>
      <c r="D54" s="1718"/>
      <c r="E54" s="1718"/>
      <c r="F54" s="1718"/>
      <c r="G54" s="1718"/>
      <c r="H54" s="1718"/>
      <c r="I54" s="1718"/>
      <c r="J54" s="1718"/>
      <c r="K54" s="1718"/>
      <c r="L54" s="1718"/>
      <c r="M54" s="1718"/>
    </row>
    <row r="55" spans="1:13">
      <c r="A55" s="1718"/>
      <c r="B55" s="1718"/>
      <c r="C55" s="1718"/>
      <c r="D55" s="1718"/>
      <c r="E55" s="1718"/>
      <c r="F55" s="1718"/>
      <c r="G55" s="1718"/>
      <c r="H55" s="1718"/>
      <c r="I55" s="1718"/>
      <c r="J55" s="1718"/>
      <c r="K55" s="1718"/>
      <c r="L55" s="1718"/>
      <c r="M55" s="1718"/>
    </row>
    <row r="56" spans="1:13">
      <c r="A56" s="1718"/>
      <c r="B56" s="1718"/>
      <c r="C56" s="1718"/>
      <c r="D56" s="1718"/>
      <c r="E56" s="1718"/>
      <c r="F56" s="1718"/>
      <c r="G56" s="1718"/>
      <c r="H56" s="1718"/>
      <c r="I56" s="1718"/>
      <c r="J56" s="1718"/>
      <c r="K56" s="1718"/>
      <c r="L56" s="1718"/>
      <c r="M56" s="1718"/>
    </row>
    <row r="57" spans="1:13" ht="15.6" customHeight="1">
      <c r="A57" s="1719" t="s">
        <v>436</v>
      </c>
      <c r="B57" s="1719"/>
      <c r="C57" s="1719"/>
      <c r="D57" s="1719"/>
      <c r="E57" s="1719"/>
      <c r="F57" s="1719"/>
      <c r="G57" s="1719"/>
      <c r="H57" s="1719"/>
      <c r="I57" s="1719"/>
      <c r="J57" s="1719"/>
      <c r="K57" s="1719"/>
      <c r="L57" s="1719"/>
      <c r="M57" s="292"/>
    </row>
    <row r="58" spans="1:13">
      <c r="A58" s="407" t="s">
        <v>435</v>
      </c>
      <c r="B58" s="406"/>
      <c r="C58" s="406"/>
      <c r="D58" s="406"/>
      <c r="E58" s="406"/>
      <c r="F58" s="406"/>
      <c r="G58" s="406"/>
      <c r="H58" s="406"/>
      <c r="I58" s="406"/>
      <c r="J58" s="406"/>
      <c r="K58" s="406"/>
      <c r="L58" s="406"/>
      <c r="M58" s="292"/>
    </row>
    <row r="59" spans="1:13">
      <c r="A59" s="407" t="s">
        <v>434</v>
      </c>
      <c r="B59" s="406"/>
      <c r="C59" s="406"/>
      <c r="D59" s="406"/>
      <c r="E59" s="406"/>
      <c r="F59" s="406"/>
      <c r="G59" s="406"/>
      <c r="H59" s="406"/>
      <c r="I59" s="406"/>
      <c r="J59" s="406"/>
      <c r="K59" s="406"/>
      <c r="L59" s="406"/>
      <c r="M59" s="292"/>
    </row>
    <row r="60" spans="1:13">
      <c r="A60" s="407" t="s">
        <v>433</v>
      </c>
      <c r="B60" s="406"/>
      <c r="C60" s="406"/>
      <c r="D60" s="406"/>
      <c r="E60" s="406"/>
      <c r="F60" s="406"/>
      <c r="G60" s="406"/>
      <c r="H60" s="406"/>
      <c r="I60" s="406"/>
      <c r="J60" s="406"/>
      <c r="K60" s="406"/>
      <c r="L60" s="406"/>
      <c r="M60" s="292"/>
    </row>
    <row r="61" spans="1:13">
      <c r="A61" s="407"/>
      <c r="B61" s="406"/>
      <c r="C61" s="406"/>
      <c r="D61" s="406"/>
      <c r="E61" s="406"/>
      <c r="F61" s="406"/>
      <c r="G61" s="406"/>
      <c r="H61" s="406"/>
      <c r="I61" s="406"/>
      <c r="J61" s="406"/>
      <c r="K61" s="406"/>
      <c r="L61" s="406"/>
      <c r="M61" s="292"/>
    </row>
    <row r="62" spans="1:13" ht="15.6" customHeight="1">
      <c r="A62" s="1719" t="s">
        <v>432</v>
      </c>
      <c r="B62" s="1719"/>
      <c r="C62" s="1719"/>
      <c r="D62" s="1719"/>
      <c r="E62" s="1719"/>
      <c r="F62" s="1719"/>
      <c r="G62" s="1719"/>
      <c r="H62" s="1719"/>
      <c r="I62" s="1719"/>
      <c r="J62" s="1719"/>
      <c r="K62" s="1719"/>
      <c r="L62" s="1719"/>
      <c r="M62" s="292"/>
    </row>
    <row r="63" spans="1:13">
      <c r="A63" s="407"/>
      <c r="B63" s="406"/>
      <c r="C63" s="406"/>
      <c r="D63" s="406"/>
      <c r="E63" s="406"/>
      <c r="F63" s="406"/>
      <c r="G63" s="406"/>
      <c r="H63" s="406"/>
      <c r="I63" s="406"/>
      <c r="J63" s="406"/>
      <c r="K63" s="406"/>
      <c r="L63" s="406"/>
      <c r="M63" s="292"/>
    </row>
    <row r="64" spans="1:13">
      <c r="A64" s="405" t="s">
        <v>235</v>
      </c>
      <c r="B64" s="1719" t="s">
        <v>431</v>
      </c>
      <c r="C64" s="1719"/>
      <c r="D64" s="1719"/>
      <c r="E64" s="1719"/>
      <c r="F64" s="1719"/>
      <c r="G64" s="1719"/>
      <c r="H64" s="1719"/>
      <c r="I64" s="1719"/>
      <c r="J64" s="1719"/>
      <c r="K64" s="1719"/>
      <c r="L64" s="1719"/>
      <c r="M64" s="292"/>
    </row>
    <row r="65" spans="1:13" ht="16.2">
      <c r="A65" s="403"/>
      <c r="B65" s="403" t="s">
        <v>64</v>
      </c>
      <c r="C65" s="403"/>
      <c r="D65" s="401"/>
      <c r="E65" s="401"/>
      <c r="F65" s="292"/>
      <c r="G65" s="292"/>
      <c r="H65" s="292"/>
      <c r="I65" s="292"/>
      <c r="J65" s="292"/>
      <c r="K65" s="292"/>
      <c r="L65" s="292"/>
      <c r="M65" s="292"/>
    </row>
    <row r="66" spans="1:13">
      <c r="A66" s="1720" t="s">
        <v>430</v>
      </c>
      <c r="B66" s="1720"/>
      <c r="C66" s="1720"/>
      <c r="D66" s="1720"/>
      <c r="E66" s="1720"/>
      <c r="F66" s="1720"/>
      <c r="G66" s="1720"/>
      <c r="H66" s="1720"/>
      <c r="I66" s="1720"/>
      <c r="J66" s="1720"/>
      <c r="K66" s="1720"/>
      <c r="L66" s="1720"/>
      <c r="M66" s="1720"/>
    </row>
    <row r="67" spans="1:13">
      <c r="A67" s="1720"/>
      <c r="B67" s="1720"/>
      <c r="C67" s="1720"/>
      <c r="D67" s="1720"/>
      <c r="E67" s="1720"/>
      <c r="F67" s="1720"/>
      <c r="G67" s="1720"/>
      <c r="H67" s="1720"/>
      <c r="I67" s="1720"/>
      <c r="J67" s="1720"/>
      <c r="K67" s="1720"/>
      <c r="L67" s="1720"/>
      <c r="M67" s="1720"/>
    </row>
    <row r="68" spans="1:13">
      <c r="A68" s="1720"/>
      <c r="B68" s="1720"/>
      <c r="C68" s="1720"/>
      <c r="D68" s="1720"/>
      <c r="E68" s="1720"/>
      <c r="F68" s="1720"/>
      <c r="G68" s="1720"/>
      <c r="H68" s="1720"/>
      <c r="I68" s="1720"/>
      <c r="J68" s="1720"/>
      <c r="K68" s="1720"/>
      <c r="L68" s="1720"/>
      <c r="M68" s="1720"/>
    </row>
    <row r="69" spans="1:13">
      <c r="A69" s="1719" t="s">
        <v>429</v>
      </c>
      <c r="B69" s="1719"/>
      <c r="C69" s="1719"/>
      <c r="D69" s="1719"/>
      <c r="E69" s="1719"/>
      <c r="F69" s="1719"/>
      <c r="G69" s="1719"/>
      <c r="H69" s="1719"/>
      <c r="I69" s="1719"/>
      <c r="J69" s="1719"/>
      <c r="K69" s="1719"/>
      <c r="L69" s="1719"/>
      <c r="M69" s="292"/>
    </row>
    <row r="70" spans="1:13">
      <c r="A70" s="1719"/>
      <c r="B70" s="1719"/>
      <c r="C70" s="1719"/>
      <c r="D70" s="1719"/>
      <c r="E70" s="1719"/>
      <c r="F70" s="1719"/>
      <c r="G70" s="1719"/>
      <c r="H70" s="1719"/>
      <c r="I70" s="1719"/>
      <c r="J70" s="1719"/>
      <c r="K70" s="1719"/>
      <c r="L70" s="1719"/>
      <c r="M70" s="292"/>
    </row>
    <row r="71" spans="1:13">
      <c r="A71" s="405" t="s">
        <v>230</v>
      </c>
      <c r="B71" s="1689" t="s">
        <v>428</v>
      </c>
      <c r="C71" s="1689"/>
      <c r="D71" s="1689"/>
      <c r="E71" s="1689"/>
      <c r="F71" s="1689"/>
      <c r="G71" s="1689"/>
      <c r="H71" s="1689"/>
      <c r="I71" s="1689"/>
      <c r="J71" s="1689"/>
      <c r="K71" s="1689"/>
      <c r="L71" s="1689"/>
      <c r="M71" s="292"/>
    </row>
    <row r="72" spans="1:13">
      <c r="A72" s="404"/>
      <c r="B72" s="1717" t="s">
        <v>427</v>
      </c>
      <c r="C72" s="1717"/>
      <c r="D72" s="1717"/>
      <c r="E72" s="1717"/>
      <c r="F72" s="1717"/>
      <c r="G72" s="1717"/>
      <c r="H72" s="1717"/>
      <c r="I72" s="1717"/>
      <c r="J72" s="1717"/>
      <c r="K72" s="1717"/>
      <c r="L72" s="1717"/>
      <c r="M72" s="292"/>
    </row>
    <row r="73" spans="1:13" ht="16.2">
      <c r="A73" s="403"/>
      <c r="B73" s="402" t="s">
        <v>426</v>
      </c>
      <c r="C73" s="402"/>
      <c r="D73" s="314"/>
      <c r="E73" s="401"/>
      <c r="F73" s="292"/>
      <c r="G73" s="292"/>
      <c r="H73" s="292"/>
      <c r="I73" s="292"/>
      <c r="J73" s="292"/>
      <c r="K73" s="292"/>
      <c r="L73" s="292"/>
      <c r="M73" s="292"/>
    </row>
    <row r="74" spans="1:13" ht="16.2">
      <c r="A74" s="400"/>
      <c r="B74" s="400"/>
      <c r="C74" s="400"/>
      <c r="D74" s="399"/>
      <c r="E74" s="399"/>
      <c r="F74" s="397"/>
      <c r="G74" s="397"/>
      <c r="H74" s="397"/>
      <c r="I74" s="397"/>
      <c r="J74" s="397"/>
      <c r="K74" s="397"/>
      <c r="L74" s="397"/>
      <c r="M74" s="397"/>
    </row>
    <row r="75" spans="1:13">
      <c r="A75" s="397"/>
      <c r="B75" s="397"/>
      <c r="C75" s="397"/>
      <c r="D75" s="397"/>
      <c r="E75" s="397"/>
      <c r="F75" s="1715" t="s">
        <v>425</v>
      </c>
      <c r="G75" s="1715"/>
      <c r="H75" s="1683"/>
      <c r="I75" s="1715" t="s">
        <v>424</v>
      </c>
      <c r="J75" s="1715"/>
      <c r="K75" s="1715"/>
      <c r="L75" s="1715"/>
      <c r="M75" s="1715"/>
    </row>
    <row r="76" spans="1:13">
      <c r="A76" s="397"/>
      <c r="B76" s="396" t="s">
        <v>423</v>
      </c>
      <c r="C76" s="395"/>
      <c r="D76" s="395"/>
      <c r="E76" s="394"/>
      <c r="F76" s="1710" t="s">
        <v>422</v>
      </c>
      <c r="G76" s="1711"/>
      <c r="H76" s="1712"/>
      <c r="I76" s="1716" t="s">
        <v>421</v>
      </c>
      <c r="J76" s="1716"/>
      <c r="K76" s="1716"/>
      <c r="L76" s="1716"/>
      <c r="M76" s="1716"/>
    </row>
    <row r="77" spans="1:13">
      <c r="A77" s="397"/>
      <c r="B77" s="398"/>
      <c r="C77" s="397"/>
      <c r="D77" s="397"/>
      <c r="E77" s="397"/>
      <c r="F77" s="1683"/>
      <c r="G77" s="1713"/>
      <c r="H77" s="1714"/>
      <c r="I77" s="1715"/>
      <c r="J77" s="1715"/>
      <c r="K77" s="1715"/>
      <c r="L77" s="1715"/>
      <c r="M77" s="1715"/>
    </row>
    <row r="78" spans="1:13">
      <c r="A78" s="397"/>
      <c r="B78" s="396" t="s">
        <v>420</v>
      </c>
      <c r="C78" s="395"/>
      <c r="D78" s="395"/>
      <c r="E78" s="394"/>
      <c r="F78" s="1710" t="s">
        <v>419</v>
      </c>
      <c r="G78" s="1711"/>
      <c r="H78" s="1712"/>
      <c r="I78" s="1710" t="s">
        <v>418</v>
      </c>
      <c r="J78" s="1711"/>
      <c r="K78" s="1711"/>
      <c r="L78" s="1711"/>
      <c r="M78" s="1712"/>
    </row>
    <row r="79" spans="1:13">
      <c r="A79" s="397"/>
      <c r="B79" s="398"/>
      <c r="C79" s="397"/>
      <c r="D79" s="397"/>
      <c r="E79" s="397"/>
      <c r="F79" s="1683"/>
      <c r="G79" s="1713"/>
      <c r="H79" s="1714"/>
      <c r="I79" s="1715"/>
      <c r="J79" s="1715"/>
      <c r="K79" s="1715"/>
      <c r="L79" s="1715"/>
      <c r="M79" s="1715"/>
    </row>
    <row r="80" spans="1:13">
      <c r="A80" s="397"/>
      <c r="B80" s="396" t="s">
        <v>417</v>
      </c>
      <c r="C80" s="395"/>
      <c r="D80" s="395"/>
      <c r="E80" s="394"/>
      <c r="F80" s="1710" t="s">
        <v>416</v>
      </c>
      <c r="G80" s="1711"/>
      <c r="H80" s="1712"/>
      <c r="I80" s="1716" t="s">
        <v>415</v>
      </c>
      <c r="J80" s="1716"/>
      <c r="K80" s="1716"/>
      <c r="L80" s="1716"/>
      <c r="M80" s="1716"/>
    </row>
  </sheetData>
  <mergeCells count="36">
    <mergeCell ref="A45:L45"/>
    <mergeCell ref="A3:L3"/>
    <mergeCell ref="A5:A6"/>
    <mergeCell ref="B5:K5"/>
    <mergeCell ref="B18:L18"/>
    <mergeCell ref="B30:L30"/>
    <mergeCell ref="B36:L36"/>
    <mergeCell ref="B37:L37"/>
    <mergeCell ref="G40:H40"/>
    <mergeCell ref="G41:H41"/>
    <mergeCell ref="G42:H42"/>
    <mergeCell ref="G43:H43"/>
    <mergeCell ref="B72:L72"/>
    <mergeCell ref="B47:L47"/>
    <mergeCell ref="A49:M51"/>
    <mergeCell ref="B52:L52"/>
    <mergeCell ref="A54:M56"/>
    <mergeCell ref="A57:L57"/>
    <mergeCell ref="A62:L62"/>
    <mergeCell ref="B64:L64"/>
    <mergeCell ref="A66:M68"/>
    <mergeCell ref="A69:L69"/>
    <mergeCell ref="B71:L71"/>
    <mergeCell ref="A70:L70"/>
    <mergeCell ref="F75:H75"/>
    <mergeCell ref="I75:M75"/>
    <mergeCell ref="F76:H76"/>
    <mergeCell ref="I76:M76"/>
    <mergeCell ref="F77:H77"/>
    <mergeCell ref="I77:M77"/>
    <mergeCell ref="F78:H78"/>
    <mergeCell ref="I78:M78"/>
    <mergeCell ref="F79:H79"/>
    <mergeCell ref="I79:M79"/>
    <mergeCell ref="F80:H80"/>
    <mergeCell ref="I80:M80"/>
  </mergeCells>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Equation.DSMT4" shapeId="9217" r:id="rId4">
          <objectPr defaultSize="0" r:id="rId5">
            <anchor moveWithCells="1" sizeWithCells="1">
              <from>
                <xdr:col>0</xdr:col>
                <xdr:colOff>228600</xdr:colOff>
                <xdr:row>22</xdr:row>
                <xdr:rowOff>7620</xdr:rowOff>
              </from>
              <to>
                <xdr:col>0</xdr:col>
                <xdr:colOff>449580</xdr:colOff>
                <xdr:row>23</xdr:row>
                <xdr:rowOff>22860</xdr:rowOff>
              </to>
            </anchor>
          </objectPr>
        </oleObject>
      </mc:Choice>
      <mc:Fallback>
        <oleObject progId="Equation.DSMT4" shapeId="9217" r:id="rId4"/>
      </mc:Fallback>
    </mc:AlternateContent>
    <mc:AlternateContent xmlns:mc="http://schemas.openxmlformats.org/markup-compatibility/2006">
      <mc:Choice Requires="x14">
        <oleObject progId="Equation.DSMT4" shapeId="9218" r:id="rId6">
          <objectPr defaultSize="0" autoPict="0" r:id="rId7">
            <anchor moveWithCells="1" sizeWithCells="1">
              <from>
                <xdr:col>1</xdr:col>
                <xdr:colOff>685800</xdr:colOff>
                <xdr:row>26</xdr:row>
                <xdr:rowOff>0</xdr:rowOff>
              </from>
              <to>
                <xdr:col>4</xdr:col>
                <xdr:colOff>426720</xdr:colOff>
                <xdr:row>27</xdr:row>
                <xdr:rowOff>38100</xdr:rowOff>
              </to>
            </anchor>
          </objectPr>
        </oleObject>
      </mc:Choice>
      <mc:Fallback>
        <oleObject progId="Equation.DSMT4" shapeId="9218" r:id="rId6"/>
      </mc:Fallback>
    </mc:AlternateContent>
    <mc:AlternateContent xmlns:mc="http://schemas.openxmlformats.org/markup-compatibility/2006">
      <mc:Choice Requires="x14">
        <oleObject progId="Equation.DSMT4" shapeId="9219" r:id="rId8">
          <objectPr defaultSize="0" autoPict="0" r:id="rId9">
            <anchor moveWithCells="1" sizeWithCells="1">
              <from>
                <xdr:col>0</xdr:col>
                <xdr:colOff>99060</xdr:colOff>
                <xdr:row>23</xdr:row>
                <xdr:rowOff>7620</xdr:rowOff>
              </from>
              <to>
                <xdr:col>0</xdr:col>
                <xdr:colOff>670560</xdr:colOff>
                <xdr:row>24</xdr:row>
                <xdr:rowOff>22860</xdr:rowOff>
              </to>
            </anchor>
          </objectPr>
        </oleObject>
      </mc:Choice>
      <mc:Fallback>
        <oleObject progId="Equation.DSMT4" shapeId="9219" r:id="rId8"/>
      </mc:Fallback>
    </mc:AlternateContent>
    <mc:AlternateContent xmlns:mc="http://schemas.openxmlformats.org/markup-compatibility/2006">
      <mc:Choice Requires="x14">
        <oleObject progId="Equation.DSMT4" shapeId="9220" r:id="rId10">
          <objectPr defaultSize="0" autoPict="0" r:id="rId11">
            <anchor moveWithCells="1" sizeWithCells="1">
              <from>
                <xdr:col>0</xdr:col>
                <xdr:colOff>60960</xdr:colOff>
                <xdr:row>24</xdr:row>
                <xdr:rowOff>7620</xdr:rowOff>
              </from>
              <to>
                <xdr:col>0</xdr:col>
                <xdr:colOff>640080</xdr:colOff>
                <xdr:row>24</xdr:row>
                <xdr:rowOff>411480</xdr:rowOff>
              </to>
            </anchor>
          </objectPr>
        </oleObject>
      </mc:Choice>
      <mc:Fallback>
        <oleObject progId="Equation.DSMT4" shapeId="9220" r:id="rId10"/>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45EF-F493-4CE9-8A57-8FEAC4B21404}">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DB0D3-B380-42FB-82D0-9A8745AECDB4}">
  <dimension ref="A1:M95"/>
  <sheetViews>
    <sheetView zoomScaleNormal="100" workbookViewId="0"/>
  </sheetViews>
  <sheetFormatPr defaultColWidth="9.109375" defaultRowHeight="14.4"/>
  <cols>
    <col min="1" max="1" width="14.109375" customWidth="1"/>
    <col min="2" max="13" width="13.6640625" customWidth="1"/>
    <col min="14" max="18" width="8.88671875" customWidth="1"/>
    <col min="19" max="19" width="10.5546875" customWidth="1"/>
    <col min="20" max="20" width="10.6640625" customWidth="1"/>
    <col min="21" max="22" width="8.88671875" customWidth="1"/>
    <col min="23" max="24" width="9.109375" bestFit="1" customWidth="1"/>
    <col min="25" max="26" width="11.5546875" bestFit="1" customWidth="1"/>
  </cols>
  <sheetData>
    <row r="1" spans="1:13" ht="15.75" customHeight="1">
      <c r="A1" s="23" t="s">
        <v>494</v>
      </c>
      <c r="B1" s="22"/>
      <c r="C1" s="5" t="s">
        <v>38</v>
      </c>
      <c r="D1" s="22"/>
      <c r="E1" s="22"/>
      <c r="F1" s="22"/>
      <c r="G1" s="22"/>
      <c r="H1" s="22"/>
      <c r="I1" s="22"/>
      <c r="J1" s="22"/>
      <c r="K1" s="2"/>
      <c r="L1" s="2"/>
      <c r="M1" s="2"/>
    </row>
    <row r="2" spans="1:13" ht="15.75" customHeight="1">
      <c r="A2" s="23"/>
      <c r="B2" s="22"/>
      <c r="C2" s="3"/>
      <c r="D2" s="3"/>
      <c r="E2" s="3"/>
      <c r="F2" s="3"/>
      <c r="G2" s="3"/>
      <c r="H2" s="19"/>
      <c r="I2" s="19"/>
      <c r="J2" s="4"/>
      <c r="K2" s="4"/>
      <c r="L2" s="4"/>
      <c r="M2" s="2"/>
    </row>
    <row r="3" spans="1:13" ht="31.5" customHeight="1">
      <c r="A3" s="1733" t="s">
        <v>493</v>
      </c>
      <c r="B3" s="1733"/>
      <c r="C3" s="1733"/>
      <c r="D3" s="1733"/>
      <c r="E3" s="1733"/>
      <c r="F3" s="1733"/>
      <c r="G3" s="1733"/>
      <c r="H3" s="1733"/>
      <c r="I3" s="1733"/>
      <c r="J3" s="1733"/>
      <c r="K3" s="1733"/>
      <c r="L3" s="1733"/>
      <c r="M3" s="2"/>
    </row>
    <row r="4" spans="1:13" ht="15.6">
      <c r="A4" s="1734" t="s">
        <v>31</v>
      </c>
      <c r="B4" s="1736" t="s">
        <v>492</v>
      </c>
      <c r="C4" s="1736"/>
      <c r="D4" s="1736"/>
      <c r="E4" s="1736"/>
      <c r="F4" s="1736"/>
      <c r="G4" s="1736"/>
      <c r="H4" s="136"/>
      <c r="I4" s="136"/>
      <c r="J4" s="136"/>
      <c r="K4" s="136"/>
      <c r="L4" s="136"/>
      <c r="M4" s="2"/>
    </row>
    <row r="5" spans="1:13" ht="15.6">
      <c r="A5" s="1735"/>
      <c r="B5" s="466">
        <v>12</v>
      </c>
      <c r="C5" s="466">
        <v>24</v>
      </c>
      <c r="D5" s="466">
        <v>36</v>
      </c>
      <c r="E5" s="466">
        <v>48</v>
      </c>
      <c r="F5" s="466">
        <v>60</v>
      </c>
      <c r="G5" s="466">
        <v>72</v>
      </c>
      <c r="H5" s="136"/>
      <c r="I5" s="136"/>
      <c r="J5" s="136"/>
      <c r="K5" s="136"/>
      <c r="L5" s="136"/>
      <c r="M5" s="2"/>
    </row>
    <row r="6" spans="1:13" ht="15.6">
      <c r="A6" s="470">
        <v>2017</v>
      </c>
      <c r="B6" s="469">
        <v>784</v>
      </c>
      <c r="C6" s="469">
        <v>880</v>
      </c>
      <c r="D6" s="469">
        <v>938</v>
      </c>
      <c r="E6" s="469">
        <v>983</v>
      </c>
      <c r="F6" s="469">
        <v>1006</v>
      </c>
      <c r="G6" s="469">
        <v>1016</v>
      </c>
      <c r="H6" s="136"/>
      <c r="I6" s="136"/>
      <c r="J6" s="136"/>
      <c r="K6" s="136"/>
      <c r="L6" s="136"/>
      <c r="M6" s="2"/>
    </row>
    <row r="7" spans="1:13" ht="15.6">
      <c r="A7" s="470">
        <v>2018</v>
      </c>
      <c r="B7" s="469">
        <v>1011</v>
      </c>
      <c r="C7" s="469">
        <v>1164</v>
      </c>
      <c r="D7" s="469">
        <v>1288</v>
      </c>
      <c r="E7" s="469">
        <v>1367</v>
      </c>
      <c r="F7" s="469">
        <v>1380</v>
      </c>
      <c r="G7" s="469"/>
      <c r="H7" s="136"/>
      <c r="I7" s="136"/>
      <c r="J7" s="136"/>
      <c r="K7" s="136"/>
      <c r="L7" s="136"/>
      <c r="M7" s="2"/>
    </row>
    <row r="8" spans="1:13" ht="15.6">
      <c r="A8" s="470">
        <v>2019</v>
      </c>
      <c r="B8" s="469">
        <v>1062</v>
      </c>
      <c r="C8" s="469">
        <v>1233</v>
      </c>
      <c r="D8" s="469">
        <v>1331</v>
      </c>
      <c r="E8" s="469">
        <v>1404</v>
      </c>
      <c r="F8" s="469"/>
      <c r="G8" s="469"/>
      <c r="H8" s="136"/>
      <c r="I8" s="136"/>
      <c r="J8" s="136"/>
      <c r="K8" s="136"/>
      <c r="L8" s="136"/>
      <c r="M8" s="2"/>
    </row>
    <row r="9" spans="1:13" ht="15.6">
      <c r="A9" s="470">
        <v>2020</v>
      </c>
      <c r="B9" s="469">
        <v>1120</v>
      </c>
      <c r="C9" s="469">
        <v>1231</v>
      </c>
      <c r="D9" s="469">
        <v>1328</v>
      </c>
      <c r="E9" s="469"/>
      <c r="F9" s="469"/>
      <c r="G9" s="469"/>
      <c r="H9" s="136"/>
      <c r="I9" s="136"/>
      <c r="J9" s="136"/>
      <c r="K9" s="136"/>
      <c r="L9" s="136"/>
      <c r="M9" s="2"/>
    </row>
    <row r="10" spans="1:13" ht="15.6">
      <c r="A10" s="470">
        <v>2021</v>
      </c>
      <c r="B10" s="469">
        <v>1230</v>
      </c>
      <c r="C10" s="469">
        <v>1400</v>
      </c>
      <c r="D10" s="469"/>
      <c r="E10" s="469"/>
      <c r="F10" s="469"/>
      <c r="G10" s="469"/>
      <c r="H10" s="136"/>
      <c r="I10" s="136"/>
      <c r="J10" s="136"/>
      <c r="K10" s="136"/>
      <c r="L10" s="136"/>
      <c r="M10" s="2"/>
    </row>
    <row r="11" spans="1:13" ht="15.6">
      <c r="A11" s="470">
        <v>2022</v>
      </c>
      <c r="B11" s="469">
        <v>1200</v>
      </c>
      <c r="C11" s="469"/>
      <c r="D11" s="469"/>
      <c r="E11" s="469"/>
      <c r="F11" s="469"/>
      <c r="G11" s="469"/>
      <c r="H11" s="136"/>
      <c r="I11" s="136"/>
      <c r="J11" s="136"/>
      <c r="K11" s="136"/>
      <c r="L11" s="136"/>
      <c r="M11" s="2"/>
    </row>
    <row r="12" spans="1:13" ht="15.6">
      <c r="A12" s="3"/>
      <c r="B12" s="3"/>
      <c r="C12" s="3"/>
      <c r="D12" s="3"/>
      <c r="E12" s="3"/>
      <c r="F12" s="3"/>
      <c r="G12" s="3"/>
      <c r="H12" s="136"/>
      <c r="I12" s="136"/>
      <c r="J12" s="136"/>
      <c r="K12" s="136"/>
      <c r="L12" s="136"/>
      <c r="M12" s="2"/>
    </row>
    <row r="13" spans="1:13" ht="15.6">
      <c r="A13" s="1671" t="s">
        <v>31</v>
      </c>
      <c r="B13" s="1736" t="s">
        <v>491</v>
      </c>
      <c r="C13" s="1736"/>
      <c r="D13" s="1736"/>
      <c r="E13" s="1736"/>
      <c r="F13" s="1736"/>
      <c r="G13" s="1736"/>
      <c r="H13" s="136"/>
      <c r="I13" s="136"/>
      <c r="J13" s="136"/>
      <c r="K13" s="136"/>
      <c r="L13" s="136"/>
      <c r="M13" s="2"/>
    </row>
    <row r="14" spans="1:13" ht="15.6">
      <c r="A14" s="1671"/>
      <c r="B14" s="466">
        <v>12</v>
      </c>
      <c r="C14" s="466">
        <v>24</v>
      </c>
      <c r="D14" s="466">
        <v>36</v>
      </c>
      <c r="E14" s="466">
        <v>48</v>
      </c>
      <c r="F14" s="466">
        <v>60</v>
      </c>
      <c r="G14" s="466">
        <v>72</v>
      </c>
      <c r="H14" s="136"/>
      <c r="I14" s="136"/>
      <c r="J14" s="136"/>
      <c r="K14" s="136"/>
      <c r="L14" s="136"/>
      <c r="M14" s="2"/>
    </row>
    <row r="15" spans="1:13" ht="15.6">
      <c r="A15" s="470">
        <v>2017</v>
      </c>
      <c r="B15" s="469">
        <v>770</v>
      </c>
      <c r="C15" s="469">
        <v>862</v>
      </c>
      <c r="D15" s="469">
        <v>917</v>
      </c>
      <c r="E15" s="469">
        <v>959</v>
      </c>
      <c r="F15" s="469">
        <v>980</v>
      </c>
      <c r="G15" s="469">
        <v>989</v>
      </c>
      <c r="H15" s="136"/>
      <c r="I15" s="136"/>
      <c r="J15" s="136"/>
      <c r="K15" s="136"/>
      <c r="L15" s="136"/>
      <c r="M15" s="2"/>
    </row>
    <row r="16" spans="1:13" ht="15.6">
      <c r="A16" s="470">
        <v>2018</v>
      </c>
      <c r="B16" s="469">
        <v>932</v>
      </c>
      <c r="C16" s="469">
        <v>1002</v>
      </c>
      <c r="D16" s="469">
        <v>1091</v>
      </c>
      <c r="E16" s="469">
        <v>1159</v>
      </c>
      <c r="F16" s="469">
        <v>1168</v>
      </c>
      <c r="G16" s="469"/>
      <c r="H16" s="136"/>
      <c r="I16" s="136"/>
      <c r="J16" s="136"/>
      <c r="K16" s="136"/>
      <c r="L16" s="136"/>
      <c r="M16" s="2"/>
    </row>
    <row r="17" spans="1:13" ht="15.6">
      <c r="A17" s="470">
        <v>2019</v>
      </c>
      <c r="B17" s="469">
        <v>862</v>
      </c>
      <c r="C17" s="469">
        <v>942</v>
      </c>
      <c r="D17" s="469">
        <v>1008</v>
      </c>
      <c r="E17" s="469">
        <v>1054</v>
      </c>
      <c r="F17" s="469"/>
      <c r="G17" s="469"/>
      <c r="H17" s="136"/>
      <c r="I17" s="136"/>
      <c r="J17" s="136"/>
      <c r="K17" s="136"/>
      <c r="L17" s="136"/>
      <c r="M17" s="2"/>
    </row>
    <row r="18" spans="1:13" ht="15.6">
      <c r="A18" s="470">
        <v>2020</v>
      </c>
      <c r="B18" s="469">
        <v>1100</v>
      </c>
      <c r="C18" s="469">
        <v>1203</v>
      </c>
      <c r="D18" s="469">
        <v>1297</v>
      </c>
      <c r="E18" s="469"/>
      <c r="F18" s="469"/>
      <c r="G18" s="469"/>
      <c r="H18" s="136"/>
      <c r="I18" s="136"/>
      <c r="J18" s="136"/>
      <c r="K18" s="136"/>
      <c r="L18" s="136"/>
      <c r="M18" s="2"/>
    </row>
    <row r="19" spans="1:13" ht="15.6">
      <c r="A19" s="470">
        <v>2021</v>
      </c>
      <c r="B19" s="469">
        <v>1093</v>
      </c>
      <c r="C19" s="469">
        <v>1190</v>
      </c>
      <c r="D19" s="469"/>
      <c r="E19" s="469"/>
      <c r="F19" s="469"/>
      <c r="G19" s="469"/>
      <c r="H19" s="136"/>
      <c r="I19" s="136"/>
      <c r="J19" s="136"/>
      <c r="K19" s="136"/>
      <c r="L19" s="136"/>
      <c r="M19" s="2"/>
    </row>
    <row r="20" spans="1:13" ht="15.6">
      <c r="A20" s="470">
        <v>2022</v>
      </c>
      <c r="B20" s="469">
        <v>1133</v>
      </c>
      <c r="C20" s="469"/>
      <c r="D20" s="469"/>
      <c r="E20" s="469"/>
      <c r="F20" s="469"/>
      <c r="G20" s="469"/>
      <c r="H20" s="136"/>
      <c r="I20" s="136"/>
      <c r="J20" s="136"/>
      <c r="K20" s="136"/>
      <c r="L20" s="136"/>
      <c r="M20" s="2"/>
    </row>
    <row r="21" spans="1:13" ht="15.6">
      <c r="A21" s="468"/>
      <c r="B21" s="468"/>
      <c r="C21" s="468"/>
      <c r="D21" s="468"/>
      <c r="E21" s="468"/>
      <c r="F21" s="468"/>
      <c r="G21" s="468"/>
      <c r="H21" s="136"/>
      <c r="I21" s="136"/>
      <c r="J21" s="136"/>
      <c r="K21" s="136"/>
      <c r="L21" s="136"/>
      <c r="M21" s="2"/>
    </row>
    <row r="22" spans="1:13" ht="31.2" customHeight="1">
      <c r="A22" s="467"/>
      <c r="B22" s="1671" t="s">
        <v>490</v>
      </c>
      <c r="C22" s="1736"/>
      <c r="D22" s="1736"/>
      <c r="E22" s="1736"/>
      <c r="F22" s="1736"/>
      <c r="G22" s="1736"/>
      <c r="H22" s="136"/>
      <c r="I22" s="136"/>
      <c r="J22" s="136"/>
      <c r="K22" s="136"/>
      <c r="L22" s="136"/>
      <c r="M22" s="2"/>
    </row>
    <row r="23" spans="1:13" ht="15.6">
      <c r="A23" s="467"/>
      <c r="B23" s="466">
        <v>12</v>
      </c>
      <c r="C23" s="466">
        <v>24</v>
      </c>
      <c r="D23" s="466">
        <v>36</v>
      </c>
      <c r="E23" s="466">
        <v>48</v>
      </c>
      <c r="F23" s="466">
        <v>60</v>
      </c>
      <c r="G23" s="466">
        <v>72</v>
      </c>
      <c r="H23" s="136"/>
      <c r="I23" s="136"/>
      <c r="J23" s="136"/>
      <c r="K23" s="136"/>
      <c r="L23" s="136"/>
      <c r="M23" s="2"/>
    </row>
    <row r="24" spans="1:13" ht="15.6">
      <c r="A24" s="464"/>
      <c r="B24" s="465">
        <v>0.88</v>
      </c>
      <c r="C24" s="465">
        <v>0.84</v>
      </c>
      <c r="D24" s="465">
        <v>0.81</v>
      </c>
      <c r="E24" s="465">
        <v>0.79</v>
      </c>
      <c r="F24" s="465">
        <v>0.79</v>
      </c>
      <c r="G24" s="465">
        <v>0.79</v>
      </c>
      <c r="H24" s="136"/>
      <c r="I24" s="136"/>
      <c r="J24" s="136"/>
      <c r="K24" s="136"/>
      <c r="L24" s="136"/>
      <c r="M24" s="2"/>
    </row>
    <row r="25" spans="1:13" ht="15.6">
      <c r="A25" s="464"/>
      <c r="B25" s="463"/>
      <c r="C25" s="463"/>
      <c r="D25" s="463"/>
      <c r="E25" s="463"/>
      <c r="F25" s="463"/>
      <c r="G25" s="463"/>
      <c r="H25" s="136"/>
      <c r="I25" s="136"/>
      <c r="J25" s="136"/>
      <c r="K25" s="136"/>
      <c r="L25" s="136"/>
      <c r="M25" s="2"/>
    </row>
    <row r="26" spans="1:13" ht="15.6">
      <c r="A26" s="47" t="s">
        <v>489</v>
      </c>
      <c r="B26" s="136"/>
      <c r="C26" s="136"/>
      <c r="D26" s="136"/>
      <c r="E26" s="136"/>
      <c r="F26" s="136"/>
      <c r="G26" s="136"/>
      <c r="H26" s="136"/>
      <c r="I26" s="136"/>
      <c r="J26" s="136"/>
      <c r="K26" s="136"/>
      <c r="L26" s="136"/>
      <c r="M26" s="3"/>
    </row>
    <row r="27" spans="1:13" ht="15.6">
      <c r="A27" s="3"/>
      <c r="B27" s="161"/>
      <c r="C27" s="2"/>
      <c r="D27" s="2"/>
      <c r="E27" s="2"/>
      <c r="F27" s="2"/>
      <c r="G27" s="2"/>
      <c r="H27" s="2"/>
      <c r="I27" s="2"/>
      <c r="J27" s="2"/>
      <c r="K27" s="2"/>
      <c r="L27" s="2"/>
      <c r="M27" s="2"/>
    </row>
    <row r="28" spans="1:13" ht="15.6">
      <c r="A28" s="3" t="s">
        <v>80</v>
      </c>
      <c r="B28" s="3" t="s">
        <v>488</v>
      </c>
      <c r="C28" s="3"/>
      <c r="D28" s="3"/>
      <c r="E28" s="3"/>
      <c r="F28" s="3"/>
      <c r="G28" s="3"/>
      <c r="H28" s="3"/>
      <c r="I28" s="2"/>
      <c r="J28" s="2"/>
      <c r="K28" s="2"/>
      <c r="L28" s="2"/>
      <c r="M28" s="2"/>
    </row>
    <row r="29" spans="1:13" ht="15.6">
      <c r="A29" s="3"/>
      <c r="B29" s="47" t="s">
        <v>487</v>
      </c>
      <c r="C29" s="3"/>
      <c r="D29" s="3"/>
      <c r="E29" s="3"/>
      <c r="F29" s="3"/>
      <c r="G29" s="3"/>
      <c r="H29" s="3"/>
      <c r="I29" s="2"/>
      <c r="J29" s="2"/>
      <c r="K29" s="2"/>
      <c r="L29" s="2"/>
      <c r="M29" s="2"/>
    </row>
    <row r="30" spans="1:13" ht="15.6">
      <c r="A30" s="3"/>
      <c r="B30" s="47" t="s">
        <v>486</v>
      </c>
      <c r="C30" s="3"/>
      <c r="D30" s="3"/>
      <c r="E30" s="3"/>
      <c r="F30" s="3"/>
      <c r="G30" s="3"/>
      <c r="H30" s="3"/>
      <c r="I30" s="2"/>
      <c r="J30" s="2"/>
      <c r="K30" s="2"/>
      <c r="L30" s="2"/>
      <c r="M30" s="2"/>
    </row>
    <row r="31" spans="1:13" ht="16.2">
      <c r="A31" s="3"/>
      <c r="B31" s="5" t="s">
        <v>64</v>
      </c>
      <c r="C31" s="44"/>
      <c r="D31" s="44"/>
      <c r="E31" s="44"/>
      <c r="F31" s="44"/>
      <c r="G31" s="44"/>
      <c r="H31" s="44"/>
      <c r="I31" s="44"/>
      <c r="J31" s="44"/>
      <c r="K31" s="44"/>
      <c r="L31" s="44"/>
      <c r="M31" s="2"/>
    </row>
    <row r="32" spans="1:13" ht="15.6">
      <c r="A32" s="187"/>
      <c r="B32" s="1"/>
      <c r="C32" s="1"/>
      <c r="D32" s="1"/>
      <c r="E32" s="1"/>
      <c r="F32" s="1"/>
      <c r="G32" s="1"/>
      <c r="H32" s="1"/>
      <c r="I32" s="1"/>
      <c r="J32" s="1"/>
      <c r="K32" s="1"/>
      <c r="L32" s="1"/>
    </row>
    <row r="33" spans="1:9">
      <c r="A33" s="460" t="s">
        <v>350</v>
      </c>
    </row>
    <row r="34" spans="1:9">
      <c r="B34" s="1727" t="s">
        <v>485</v>
      </c>
      <c r="C34" s="1728"/>
      <c r="D34" s="1728"/>
      <c r="E34" s="1728"/>
      <c r="F34" s="1728"/>
      <c r="G34" s="1729"/>
    </row>
    <row r="35" spans="1:9">
      <c r="A35" s="457" t="s">
        <v>47</v>
      </c>
      <c r="B35" s="457">
        <v>12</v>
      </c>
      <c r="C35" s="457">
        <v>24</v>
      </c>
      <c r="D35" s="457">
        <v>36</v>
      </c>
      <c r="E35" s="457">
        <v>48</v>
      </c>
      <c r="F35" s="457">
        <v>60</v>
      </c>
      <c r="G35" s="457">
        <v>72</v>
      </c>
    </row>
    <row r="36" spans="1:9">
      <c r="A36" s="457">
        <v>2017</v>
      </c>
      <c r="B36" s="457">
        <f t="shared" ref="B36:G36" si="0">B6-B15</f>
        <v>14</v>
      </c>
      <c r="C36" s="457">
        <f t="shared" si="0"/>
        <v>18</v>
      </c>
      <c r="D36" s="457">
        <f t="shared" si="0"/>
        <v>21</v>
      </c>
      <c r="E36" s="457">
        <f t="shared" si="0"/>
        <v>24</v>
      </c>
      <c r="F36" s="457">
        <f t="shared" si="0"/>
        <v>26</v>
      </c>
      <c r="G36" s="457">
        <f t="shared" si="0"/>
        <v>27</v>
      </c>
    </row>
    <row r="37" spans="1:9">
      <c r="A37" s="457">
        <v>2018</v>
      </c>
      <c r="B37" s="457">
        <f>B7-B16</f>
        <v>79</v>
      </c>
      <c r="C37" s="457">
        <f>C7-C16</f>
        <v>162</v>
      </c>
      <c r="D37" s="457">
        <f>D7-D16</f>
        <v>197</v>
      </c>
      <c r="E37" s="457">
        <f>E7-E16</f>
        <v>208</v>
      </c>
      <c r="F37" s="457">
        <f>F7-F16</f>
        <v>212</v>
      </c>
      <c r="G37" s="457"/>
    </row>
    <row r="38" spans="1:9">
      <c r="A38" s="457">
        <v>2019</v>
      </c>
      <c r="B38" s="457">
        <f>B8-B17</f>
        <v>200</v>
      </c>
      <c r="C38" s="457">
        <f>C8-C17</f>
        <v>291</v>
      </c>
      <c r="D38" s="457">
        <f>D8-D17</f>
        <v>323</v>
      </c>
      <c r="E38" s="457">
        <f>E8-E17</f>
        <v>350</v>
      </c>
      <c r="F38" s="457"/>
      <c r="G38" s="457"/>
    </row>
    <row r="39" spans="1:9">
      <c r="A39" s="457">
        <v>2020</v>
      </c>
      <c r="B39" s="457">
        <f>B9-B18</f>
        <v>20</v>
      </c>
      <c r="C39" s="457">
        <f>C9-C18</f>
        <v>28</v>
      </c>
      <c r="D39" s="457">
        <f>D9-D18</f>
        <v>31</v>
      </c>
      <c r="E39" s="457"/>
      <c r="F39" s="457"/>
      <c r="G39" s="457"/>
    </row>
    <row r="40" spans="1:9">
      <c r="A40" s="457">
        <v>2021</v>
      </c>
      <c r="B40" s="457">
        <f>B10-B19</f>
        <v>137</v>
      </c>
      <c r="C40" s="457">
        <f>C10-C19</f>
        <v>210</v>
      </c>
      <c r="D40" s="457"/>
      <c r="E40" s="457"/>
      <c r="F40" s="457"/>
      <c r="G40" s="457"/>
    </row>
    <row r="41" spans="1:9">
      <c r="A41" s="457">
        <v>2022</v>
      </c>
      <c r="B41" s="457">
        <f>B11-B20</f>
        <v>67</v>
      </c>
      <c r="C41" s="457"/>
      <c r="D41" s="457"/>
      <c r="E41" s="457"/>
      <c r="F41" s="457"/>
      <c r="G41" s="457"/>
    </row>
    <row r="42" spans="1:9">
      <c r="A42" s="460"/>
    </row>
    <row r="43" spans="1:9">
      <c r="B43" s="1730" t="s">
        <v>484</v>
      </c>
      <c r="C43" s="1731"/>
      <c r="D43" s="1731"/>
      <c r="E43" s="1731"/>
      <c r="F43" s="1731"/>
      <c r="G43" s="1732"/>
    </row>
    <row r="44" spans="1:9">
      <c r="A44" s="457" t="s">
        <v>47</v>
      </c>
      <c r="B44" s="457" t="s">
        <v>482</v>
      </c>
      <c r="C44" s="457" t="s">
        <v>481</v>
      </c>
      <c r="D44" s="457" t="s">
        <v>480</v>
      </c>
      <c r="E44" s="457" t="s">
        <v>479</v>
      </c>
      <c r="F44" s="457" t="s">
        <v>478</v>
      </c>
      <c r="G44" s="457" t="s">
        <v>477</v>
      </c>
    </row>
    <row r="45" spans="1:9">
      <c r="A45" s="457">
        <v>2017</v>
      </c>
      <c r="B45" s="461">
        <f>C36/B36</f>
        <v>1.2857142857142858</v>
      </c>
      <c r="C45" s="461">
        <f>D36/C36</f>
        <v>1.1666666666666667</v>
      </c>
      <c r="D45" s="461">
        <f>E36/D36</f>
        <v>1.1428571428571428</v>
      </c>
      <c r="E45" s="461">
        <f>F36/E36</f>
        <v>1.0833333333333333</v>
      </c>
      <c r="F45" s="461">
        <f>G36/F36</f>
        <v>1.0384615384615385</v>
      </c>
      <c r="G45" s="461"/>
      <c r="I45" s="455"/>
    </row>
    <row r="46" spans="1:9">
      <c r="A46" s="457">
        <v>2018</v>
      </c>
      <c r="B46" s="461">
        <f>C37/B37</f>
        <v>2.0506329113924049</v>
      </c>
      <c r="C46" s="461">
        <f>D37/C37</f>
        <v>1.2160493827160495</v>
      </c>
      <c r="D46" s="461">
        <f>E37/D37</f>
        <v>1.0558375634517767</v>
      </c>
      <c r="E46" s="461">
        <f>F37/E37</f>
        <v>1.0192307692307692</v>
      </c>
      <c r="F46" s="461"/>
      <c r="G46" s="461"/>
    </row>
    <row r="47" spans="1:9">
      <c r="A47" s="457">
        <v>2019</v>
      </c>
      <c r="B47" s="461">
        <f>C38/B38</f>
        <v>1.4550000000000001</v>
      </c>
      <c r="C47" s="461">
        <f>D38/C38</f>
        <v>1.1099656357388317</v>
      </c>
      <c r="D47" s="461">
        <f>E38/D38</f>
        <v>1.0835913312693499</v>
      </c>
      <c r="E47" s="461"/>
      <c r="F47" s="461"/>
      <c r="G47" s="461"/>
    </row>
    <row r="48" spans="1:9">
      <c r="A48" s="457">
        <v>2020</v>
      </c>
      <c r="B48" s="461">
        <f>C39/B39</f>
        <v>1.4</v>
      </c>
      <c r="C48" s="461">
        <f>D39/C39</f>
        <v>1.1071428571428572</v>
      </c>
      <c r="D48" s="461"/>
      <c r="E48" s="461"/>
      <c r="F48" s="461"/>
      <c r="G48" s="461"/>
    </row>
    <row r="49" spans="1:9">
      <c r="A49" s="457">
        <v>2021</v>
      </c>
      <c r="B49" s="461">
        <f>C40/B40</f>
        <v>1.5328467153284671</v>
      </c>
      <c r="C49" s="461"/>
      <c r="D49" s="461"/>
      <c r="E49" s="461"/>
      <c r="F49" s="461"/>
      <c r="G49" s="461"/>
    </row>
    <row r="50" spans="1:9">
      <c r="A50" s="457">
        <v>2022</v>
      </c>
      <c r="B50" s="461"/>
      <c r="C50" s="461"/>
      <c r="D50" s="461"/>
      <c r="E50" s="461"/>
      <c r="F50" s="461"/>
      <c r="G50" s="461"/>
    </row>
    <row r="51" spans="1:9">
      <c r="A51" s="457" t="s">
        <v>476</v>
      </c>
      <c r="B51" s="462">
        <f>AVERAGE(B45:B50)</f>
        <v>1.5448387824870315</v>
      </c>
      <c r="C51" s="462">
        <f>AVERAGE(C45:C50)</f>
        <v>1.1499561355661012</v>
      </c>
      <c r="D51" s="462">
        <f>AVERAGE(D45:D50)</f>
        <v>1.0940953458594231</v>
      </c>
      <c r="E51" s="462">
        <f>AVERAGE(E45:E50)</f>
        <v>1.0512820512820511</v>
      </c>
      <c r="F51" s="462">
        <f>AVERAGE(F45:F50)</f>
        <v>1.0384615384615385</v>
      </c>
      <c r="G51" s="462">
        <v>1</v>
      </c>
    </row>
    <row r="52" spans="1:9">
      <c r="A52" s="457" t="s">
        <v>473</v>
      </c>
      <c r="B52" s="462">
        <f>B51*C52</f>
        <v>2.1219213127466787</v>
      </c>
      <c r="C52" s="462">
        <f>C51*D52</f>
        <v>1.3735551805157322</v>
      </c>
      <c r="D52" s="462">
        <f>D51*E52</f>
        <v>1.1944413687045181</v>
      </c>
      <c r="E52" s="462">
        <f>E51*F52</f>
        <v>1.0917159763313609</v>
      </c>
      <c r="F52" s="462">
        <f>F51*G52</f>
        <v>1.0384615384615385</v>
      </c>
      <c r="G52" s="462">
        <v>1</v>
      </c>
      <c r="I52" s="455"/>
    </row>
    <row r="54" spans="1:9">
      <c r="A54" s="457" t="s">
        <v>47</v>
      </c>
      <c r="B54" s="457">
        <v>2022</v>
      </c>
      <c r="C54" s="457">
        <v>2021</v>
      </c>
      <c r="D54" s="457">
        <v>2020</v>
      </c>
      <c r="E54" s="457">
        <v>2019</v>
      </c>
      <c r="F54" s="457">
        <v>2018</v>
      </c>
      <c r="G54" s="457">
        <v>2017</v>
      </c>
      <c r="H54" s="269" t="s">
        <v>98</v>
      </c>
    </row>
    <row r="55" spans="1:9">
      <c r="A55" s="459" t="s">
        <v>472</v>
      </c>
      <c r="B55" s="456">
        <f>B41</f>
        <v>67</v>
      </c>
      <c r="C55" s="456">
        <f>C40</f>
        <v>210</v>
      </c>
      <c r="D55" s="456">
        <f>D39</f>
        <v>31</v>
      </c>
      <c r="E55" s="456">
        <f>E38</f>
        <v>350</v>
      </c>
      <c r="F55" s="456">
        <f>F37</f>
        <v>212</v>
      </c>
      <c r="G55" s="456">
        <f>G36</f>
        <v>27</v>
      </c>
      <c r="H55" s="456">
        <f>SUM(B55:G55)</f>
        <v>897</v>
      </c>
    </row>
    <row r="56" spans="1:9">
      <c r="A56" s="459" t="s">
        <v>115</v>
      </c>
      <c r="B56" s="458">
        <f t="shared" ref="B56:G56" si="1">B55*B52</f>
        <v>142.16872795402747</v>
      </c>
      <c r="C56" s="458">
        <f t="shared" si="1"/>
        <v>288.44658790830374</v>
      </c>
      <c r="D56" s="458">
        <f t="shared" si="1"/>
        <v>37.027682429840063</v>
      </c>
      <c r="E56" s="458">
        <f t="shared" si="1"/>
        <v>382.10059171597629</v>
      </c>
      <c r="F56" s="458">
        <f t="shared" si="1"/>
        <v>220.15384615384616</v>
      </c>
      <c r="G56" s="458">
        <f t="shared" si="1"/>
        <v>27</v>
      </c>
      <c r="H56" s="456">
        <f>SUM(B56:G56)</f>
        <v>1096.8974361619937</v>
      </c>
      <c r="I56" s="455"/>
    </row>
    <row r="57" spans="1:9">
      <c r="A57" s="457" t="s">
        <v>471</v>
      </c>
      <c r="B57" s="456">
        <f t="shared" ref="B57:G57" si="2">B56-B55</f>
        <v>75.168727954027474</v>
      </c>
      <c r="C57" s="456">
        <f t="shared" si="2"/>
        <v>78.446587908303741</v>
      </c>
      <c r="D57" s="456">
        <f t="shared" si="2"/>
        <v>6.0276824298400626</v>
      </c>
      <c r="E57" s="456">
        <f t="shared" si="2"/>
        <v>32.100591715976293</v>
      </c>
      <c r="F57" s="456">
        <f t="shared" si="2"/>
        <v>8.1538461538461604</v>
      </c>
      <c r="G57" s="456">
        <f t="shared" si="2"/>
        <v>0</v>
      </c>
      <c r="H57" s="456">
        <f>SUM(B57:G57)</f>
        <v>199.89743616199374</v>
      </c>
      <c r="I57" s="455"/>
    </row>
    <row r="58" spans="1:9">
      <c r="A58" s="460"/>
    </row>
    <row r="59" spans="1:9">
      <c r="A59" s="460" t="s">
        <v>344</v>
      </c>
    </row>
    <row r="60" spans="1:9">
      <c r="B60" s="1730" t="s">
        <v>483</v>
      </c>
      <c r="C60" s="1731"/>
      <c r="D60" s="1731"/>
      <c r="E60" s="1731"/>
      <c r="F60" s="1731"/>
      <c r="G60" s="1732"/>
    </row>
    <row r="61" spans="1:9">
      <c r="A61" s="457" t="s">
        <v>47</v>
      </c>
      <c r="B61" s="457" t="s">
        <v>482</v>
      </c>
      <c r="C61" s="457" t="s">
        <v>481</v>
      </c>
      <c r="D61" s="457" t="s">
        <v>480</v>
      </c>
      <c r="E61" s="457" t="s">
        <v>479</v>
      </c>
      <c r="F61" s="457" t="s">
        <v>478</v>
      </c>
      <c r="G61" s="457" t="s">
        <v>477</v>
      </c>
    </row>
    <row r="62" spans="1:9">
      <c r="A62" s="457">
        <v>2017</v>
      </c>
      <c r="B62" s="461">
        <f>C6/B6</f>
        <v>1.1224489795918366</v>
      </c>
      <c r="C62" s="461">
        <f>D6/C6</f>
        <v>1.0659090909090909</v>
      </c>
      <c r="D62" s="461">
        <f>E6/D6</f>
        <v>1.0479744136460554</v>
      </c>
      <c r="E62" s="461">
        <f>F6/E6</f>
        <v>1.0233977619532044</v>
      </c>
      <c r="F62" s="461">
        <f>G6/F6</f>
        <v>1.0099403578528827</v>
      </c>
      <c r="G62" s="461"/>
      <c r="I62" s="455"/>
    </row>
    <row r="63" spans="1:9">
      <c r="A63" s="457">
        <v>2018</v>
      </c>
      <c r="B63" s="461">
        <f>C7/B7</f>
        <v>1.1513353115727003</v>
      </c>
      <c r="C63" s="461">
        <f>D7/C7</f>
        <v>1.1065292096219932</v>
      </c>
      <c r="D63" s="461">
        <f>E7/D7</f>
        <v>1.061335403726708</v>
      </c>
      <c r="E63" s="461">
        <f>F7/E7</f>
        <v>1.0095098756400878</v>
      </c>
      <c r="F63" s="461"/>
      <c r="G63" s="461"/>
    </row>
    <row r="64" spans="1:9">
      <c r="A64" s="457">
        <v>2019</v>
      </c>
      <c r="B64" s="461">
        <f>C8/B8</f>
        <v>1.1610169491525424</v>
      </c>
      <c r="C64" s="461">
        <f>D8/C8</f>
        <v>1.0794809407948094</v>
      </c>
      <c r="D64" s="461">
        <f>E8/D8</f>
        <v>1.0548459804658152</v>
      </c>
      <c r="E64" s="461"/>
      <c r="F64" s="461"/>
      <c r="G64" s="461"/>
    </row>
    <row r="65" spans="1:13">
      <c r="A65" s="457">
        <v>2020</v>
      </c>
      <c r="B65" s="461">
        <f>C9/B9</f>
        <v>1.0991071428571428</v>
      </c>
      <c r="C65" s="461">
        <f>D9/C9</f>
        <v>1.0787977254264824</v>
      </c>
      <c r="D65" s="461"/>
      <c r="E65" s="461"/>
      <c r="F65" s="461"/>
      <c r="G65" s="461"/>
    </row>
    <row r="66" spans="1:13">
      <c r="A66" s="457">
        <v>2021</v>
      </c>
      <c r="B66" s="461">
        <f>C10/B10</f>
        <v>1.1382113821138211</v>
      </c>
      <c r="C66" s="461"/>
      <c r="D66" s="461"/>
      <c r="E66" s="461"/>
      <c r="F66" s="461"/>
      <c r="G66" s="461"/>
    </row>
    <row r="67" spans="1:13">
      <c r="A67" s="457">
        <v>2022</v>
      </c>
      <c r="B67" s="461"/>
      <c r="C67" s="461"/>
      <c r="D67" s="461"/>
      <c r="E67" s="461"/>
      <c r="F67" s="461"/>
      <c r="G67" s="461"/>
    </row>
    <row r="68" spans="1:13">
      <c r="A68" s="457" t="s">
        <v>476</v>
      </c>
      <c r="B68" s="462">
        <f>AVERAGE(B62:B67)</f>
        <v>1.1344239530576086</v>
      </c>
      <c r="C68" s="462">
        <f>AVERAGE(C62:C67)</f>
        <v>1.0826792416880939</v>
      </c>
      <c r="D68" s="462">
        <f>AVERAGE(D62:D67)</f>
        <v>1.054718599279526</v>
      </c>
      <c r="E68" s="462">
        <f>AVERAGE(E62:E67)</f>
        <v>1.0164538187966461</v>
      </c>
      <c r="F68" s="462">
        <f>AVERAGE(F62:F67)</f>
        <v>1.0099403578528827</v>
      </c>
      <c r="G68" s="462">
        <v>1</v>
      </c>
    </row>
    <row r="69" spans="1:13">
      <c r="A69" s="457" t="s">
        <v>475</v>
      </c>
      <c r="B69" s="462">
        <f>B68*C69</f>
        <v>1.329827108178772</v>
      </c>
      <c r="C69" s="462">
        <f>C68*D69</f>
        <v>1.1722487916395754</v>
      </c>
      <c r="D69" s="462">
        <f>D68*E69</f>
        <v>1.0827295347529027</v>
      </c>
      <c r="E69" s="462">
        <f>E68*F69</f>
        <v>1.026557733496414</v>
      </c>
      <c r="F69" s="462">
        <f>F68*G69</f>
        <v>1.0099403578528827</v>
      </c>
      <c r="G69" s="462">
        <v>1</v>
      </c>
      <c r="I69" s="455"/>
    </row>
    <row r="70" spans="1:13">
      <c r="A70" s="459" t="s">
        <v>474</v>
      </c>
      <c r="B70" s="462">
        <f t="shared" ref="B70:G70" si="3">B24</f>
        <v>0.88</v>
      </c>
      <c r="C70" s="462">
        <f t="shared" si="3"/>
        <v>0.84</v>
      </c>
      <c r="D70" s="462">
        <f t="shared" si="3"/>
        <v>0.81</v>
      </c>
      <c r="E70" s="462">
        <f t="shared" si="3"/>
        <v>0.79</v>
      </c>
      <c r="F70" s="462">
        <f t="shared" si="3"/>
        <v>0.79</v>
      </c>
      <c r="G70" s="462">
        <f t="shared" si="3"/>
        <v>0.79</v>
      </c>
      <c r="I70" s="455"/>
    </row>
    <row r="71" spans="1:13">
      <c r="A71" s="457" t="s">
        <v>473</v>
      </c>
      <c r="B71" s="461">
        <f t="shared" ref="B71:G71" si="4">B69*(1-$G$70)/(1-B$70)</f>
        <v>2.3271974393128509</v>
      </c>
      <c r="C71" s="461">
        <f t="shared" si="4"/>
        <v>1.5385765390269421</v>
      </c>
      <c r="D71" s="461">
        <f t="shared" si="4"/>
        <v>1.1967010647268925</v>
      </c>
      <c r="E71" s="461">
        <f t="shared" si="4"/>
        <v>1.026557733496414</v>
      </c>
      <c r="F71" s="461">
        <f t="shared" si="4"/>
        <v>1.0099403578528827</v>
      </c>
      <c r="G71" s="461">
        <f t="shared" si="4"/>
        <v>1</v>
      </c>
      <c r="I71" s="455"/>
    </row>
    <row r="72" spans="1:13">
      <c r="A72" s="460"/>
    </row>
    <row r="73" spans="1:13">
      <c r="A73" s="457" t="s">
        <v>47</v>
      </c>
      <c r="B73" s="457">
        <v>2022</v>
      </c>
      <c r="C73" s="457">
        <v>2021</v>
      </c>
      <c r="D73" s="457">
        <v>2020</v>
      </c>
      <c r="E73" s="457">
        <v>2019</v>
      </c>
      <c r="F73" s="457">
        <v>2018</v>
      </c>
      <c r="G73" s="457">
        <v>2017</v>
      </c>
      <c r="H73" s="269" t="s">
        <v>98</v>
      </c>
    </row>
    <row r="74" spans="1:13">
      <c r="A74" s="459" t="s">
        <v>472</v>
      </c>
      <c r="B74" s="456">
        <f t="shared" ref="B74:G74" si="5">B55</f>
        <v>67</v>
      </c>
      <c r="C74" s="456">
        <f t="shared" si="5"/>
        <v>210</v>
      </c>
      <c r="D74" s="456">
        <f t="shared" si="5"/>
        <v>31</v>
      </c>
      <c r="E74" s="456">
        <f t="shared" si="5"/>
        <v>350</v>
      </c>
      <c r="F74" s="456">
        <f t="shared" si="5"/>
        <v>212</v>
      </c>
      <c r="G74" s="456">
        <f t="shared" si="5"/>
        <v>27</v>
      </c>
      <c r="H74" s="456">
        <f>SUM(B74:G74)</f>
        <v>897</v>
      </c>
    </row>
    <row r="75" spans="1:13">
      <c r="A75" s="459" t="s">
        <v>115</v>
      </c>
      <c r="B75" s="458">
        <f t="shared" ref="B75:G75" si="6">B74*B71</f>
        <v>155.92222843396101</v>
      </c>
      <c r="C75" s="458">
        <f t="shared" si="6"/>
        <v>323.10107319565788</v>
      </c>
      <c r="D75" s="458">
        <f t="shared" si="6"/>
        <v>37.097733006533666</v>
      </c>
      <c r="E75" s="458">
        <f t="shared" si="6"/>
        <v>359.29520672374491</v>
      </c>
      <c r="F75" s="458">
        <f t="shared" si="6"/>
        <v>214.10735586481113</v>
      </c>
      <c r="G75" s="458">
        <f t="shared" si="6"/>
        <v>27</v>
      </c>
      <c r="H75" s="456">
        <f>SUM(B75:G75)</f>
        <v>1116.5235972247085</v>
      </c>
      <c r="I75" s="455"/>
    </row>
    <row r="76" spans="1:13">
      <c r="A76" s="457" t="s">
        <v>471</v>
      </c>
      <c r="B76" s="456">
        <f t="shared" ref="B76:G76" si="7">B75-B74</f>
        <v>88.92222843396101</v>
      </c>
      <c r="C76" s="456">
        <f t="shared" si="7"/>
        <v>113.10107319565788</v>
      </c>
      <c r="D76" s="456">
        <f t="shared" si="7"/>
        <v>6.0977330065336659</v>
      </c>
      <c r="E76" s="456">
        <f t="shared" si="7"/>
        <v>9.2952067237449114</v>
      </c>
      <c r="F76" s="456">
        <f t="shared" si="7"/>
        <v>2.1073558648111259</v>
      </c>
      <c r="G76" s="456">
        <f t="shared" si="7"/>
        <v>0</v>
      </c>
      <c r="H76" s="456">
        <f>SUM(B76:G76)</f>
        <v>219.5235972247086</v>
      </c>
      <c r="I76" s="455"/>
    </row>
    <row r="77" spans="1:13" ht="15.6">
      <c r="A77" s="187"/>
      <c r="B77" s="1"/>
      <c r="C77" s="1"/>
      <c r="D77" s="1"/>
      <c r="E77" s="1"/>
      <c r="F77" s="1"/>
      <c r="G77" s="1"/>
      <c r="H77" s="1"/>
      <c r="I77" s="1"/>
      <c r="J77" s="1"/>
      <c r="K77" s="1"/>
      <c r="L77" s="1"/>
    </row>
    <row r="78" spans="1:13" ht="18">
      <c r="A78" s="3" t="s">
        <v>9</v>
      </c>
      <c r="B78" s="3" t="s">
        <v>470</v>
      </c>
      <c r="C78" s="3"/>
      <c r="D78" s="3"/>
      <c r="E78" s="3"/>
      <c r="F78" s="3"/>
      <c r="G78" s="3"/>
      <c r="H78" s="3"/>
      <c r="I78" s="2"/>
      <c r="J78" s="2"/>
      <c r="K78" s="2"/>
      <c r="L78" s="2"/>
      <c r="M78" s="2"/>
    </row>
    <row r="79" spans="1:13" ht="16.2">
      <c r="A79" s="3"/>
      <c r="B79" s="5" t="s">
        <v>64</v>
      </c>
      <c r="C79" s="44"/>
      <c r="D79" s="44"/>
      <c r="E79" s="44"/>
      <c r="F79" s="44"/>
      <c r="G79" s="44"/>
      <c r="H79" s="44"/>
      <c r="I79" s="44"/>
      <c r="J79" s="44"/>
      <c r="K79" s="44"/>
      <c r="L79" s="44"/>
      <c r="M79" s="2"/>
    </row>
    <row r="80" spans="1:13" ht="15.6">
      <c r="A80" s="187"/>
      <c r="B80" s="1"/>
      <c r="C80" s="1"/>
      <c r="D80" s="1"/>
      <c r="E80" s="1"/>
      <c r="F80" s="1"/>
      <c r="G80" s="1"/>
      <c r="H80" s="1"/>
      <c r="I80" s="1"/>
      <c r="J80" s="1"/>
      <c r="K80" s="1"/>
      <c r="L80" s="1"/>
    </row>
    <row r="81" spans="1:13" ht="15.6">
      <c r="A81" s="187"/>
      <c r="B81" t="s">
        <v>469</v>
      </c>
      <c r="K81" s="1"/>
      <c r="L81" s="1"/>
    </row>
    <row r="82" spans="1:13" ht="15.6">
      <c r="A82" s="187"/>
      <c r="B82" t="s">
        <v>468</v>
      </c>
      <c r="K82" s="1"/>
      <c r="L82" s="1"/>
    </row>
    <row r="83" spans="1:13" ht="15.6">
      <c r="A83" s="1"/>
      <c r="B83" s="1"/>
      <c r="C83" s="1"/>
      <c r="D83" s="1"/>
      <c r="E83" s="1"/>
      <c r="F83" s="1"/>
      <c r="G83" s="1"/>
      <c r="H83" s="1"/>
      <c r="I83" s="1"/>
      <c r="J83" s="1"/>
      <c r="K83" s="1"/>
      <c r="L83" s="1"/>
    </row>
    <row r="84" spans="1:13" ht="15.6">
      <c r="A84" s="3" t="s">
        <v>7</v>
      </c>
      <c r="B84" s="3" t="s">
        <v>467</v>
      </c>
      <c r="C84" s="3"/>
      <c r="D84" s="3"/>
      <c r="E84" s="3"/>
      <c r="F84" s="3"/>
      <c r="G84" s="3"/>
      <c r="H84" s="3"/>
      <c r="I84" s="2"/>
      <c r="J84" s="2"/>
      <c r="K84" s="2"/>
      <c r="L84" s="2"/>
      <c r="M84" s="2"/>
    </row>
    <row r="85" spans="1:13" ht="16.2">
      <c r="A85" s="3"/>
      <c r="B85" s="5" t="s">
        <v>64</v>
      </c>
      <c r="C85" s="44"/>
      <c r="D85" s="44"/>
      <c r="E85" s="44"/>
      <c r="F85" s="44"/>
      <c r="G85" s="44"/>
      <c r="H85" s="44"/>
      <c r="I85" s="44"/>
      <c r="J85" s="44"/>
      <c r="K85" s="44"/>
      <c r="L85" s="44"/>
      <c r="M85" s="2"/>
    </row>
    <row r="86" spans="1:13" ht="16.2">
      <c r="A86" s="187"/>
      <c r="B86" s="59"/>
    </row>
    <row r="87" spans="1:13" ht="15.6">
      <c r="A87" s="187"/>
      <c r="B87" t="s">
        <v>466</v>
      </c>
    </row>
    <row r="88" spans="1:13" ht="15.6">
      <c r="A88" s="454"/>
      <c r="B88" s="454"/>
      <c r="C88" s="187"/>
      <c r="D88" s="187"/>
      <c r="E88" s="187"/>
      <c r="F88" s="14"/>
      <c r="G88" s="14"/>
      <c r="H88" s="14"/>
      <c r="I88" s="14"/>
      <c r="J88" s="14"/>
      <c r="K88" s="14"/>
      <c r="L88" s="1"/>
    </row>
    <row r="89" spans="1:13" ht="16.2">
      <c r="A89" s="3" t="s">
        <v>465</v>
      </c>
      <c r="B89" s="5"/>
      <c r="C89" s="3"/>
      <c r="D89" s="3"/>
      <c r="E89" s="3"/>
      <c r="F89" s="156"/>
      <c r="G89" s="156"/>
      <c r="H89" s="156"/>
      <c r="I89" s="156"/>
      <c r="J89" s="156"/>
      <c r="K89" s="156"/>
      <c r="L89" s="2"/>
      <c r="M89" s="2"/>
    </row>
    <row r="90" spans="1:13" ht="16.2">
      <c r="A90" s="3"/>
      <c r="B90" s="5"/>
      <c r="C90" s="3"/>
      <c r="D90" s="3"/>
      <c r="E90" s="3"/>
      <c r="F90" s="156"/>
      <c r="G90" s="156"/>
      <c r="H90" s="156"/>
      <c r="I90" s="156"/>
      <c r="J90" s="156"/>
      <c r="K90" s="156"/>
      <c r="L90" s="2"/>
      <c r="M90" s="2"/>
    </row>
    <row r="91" spans="1:13" ht="15.6">
      <c r="A91" s="3" t="s">
        <v>4</v>
      </c>
      <c r="B91" s="3" t="s">
        <v>464</v>
      </c>
      <c r="C91" s="3"/>
      <c r="D91" s="3"/>
      <c r="E91" s="3"/>
      <c r="F91" s="3"/>
      <c r="G91" s="3"/>
      <c r="H91" s="3"/>
      <c r="I91" s="2"/>
      <c r="J91" s="2"/>
      <c r="K91" s="2"/>
      <c r="L91" s="2"/>
      <c r="M91" s="2"/>
    </row>
    <row r="92" spans="1:13" ht="16.2">
      <c r="A92" s="5"/>
      <c r="B92" s="5" t="s">
        <v>64</v>
      </c>
      <c r="C92" s="5"/>
      <c r="D92" s="4"/>
      <c r="E92" s="4"/>
      <c r="F92" s="3"/>
      <c r="G92" s="3"/>
      <c r="H92" s="3"/>
      <c r="I92" s="2"/>
      <c r="J92" s="2"/>
      <c r="K92" s="2"/>
      <c r="L92" s="2"/>
      <c r="M92" s="2"/>
    </row>
    <row r="93" spans="1:13" ht="15.6">
      <c r="A93" s="1"/>
      <c r="B93" s="86"/>
      <c r="C93" s="1"/>
      <c r="D93" s="1"/>
      <c r="E93" s="1"/>
      <c r="F93" s="1"/>
      <c r="G93" s="1"/>
      <c r="H93" s="1"/>
      <c r="I93" s="1"/>
      <c r="J93" s="1"/>
      <c r="K93" s="1"/>
      <c r="L93" s="1"/>
    </row>
    <row r="94" spans="1:13" ht="15.6">
      <c r="A94" s="1"/>
      <c r="B94" t="s">
        <v>463</v>
      </c>
      <c r="C94" s="1"/>
      <c r="D94" s="1"/>
      <c r="E94" s="1"/>
      <c r="F94" s="1"/>
      <c r="G94" s="1"/>
      <c r="H94" s="1"/>
      <c r="I94" s="1"/>
      <c r="J94" s="1"/>
      <c r="K94" s="1"/>
      <c r="L94" s="1"/>
    </row>
    <row r="95" spans="1:13" ht="15.6">
      <c r="A95" s="1"/>
      <c r="B95" t="s">
        <v>462</v>
      </c>
      <c r="C95" s="1"/>
      <c r="D95" s="1"/>
      <c r="E95" s="1"/>
      <c r="F95" s="1"/>
      <c r="G95" s="1"/>
      <c r="H95" s="1"/>
      <c r="I95" s="1"/>
      <c r="J95" s="1"/>
      <c r="K95" s="1"/>
      <c r="L95" s="1"/>
    </row>
  </sheetData>
  <mergeCells count="9">
    <mergeCell ref="B34:G34"/>
    <mergeCell ref="B43:G43"/>
    <mergeCell ref="B60:G60"/>
    <mergeCell ref="A3:L3"/>
    <mergeCell ref="A4:A5"/>
    <mergeCell ref="B4:G4"/>
    <mergeCell ref="A13:A14"/>
    <mergeCell ref="B13:G13"/>
    <mergeCell ref="B22:G22"/>
  </mergeCells>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E24A7-A448-4587-B3DF-B0F69D8C2BD2}">
  <dimension ref="A1:Z168"/>
  <sheetViews>
    <sheetView zoomScaleNormal="100" workbookViewId="0"/>
  </sheetViews>
  <sheetFormatPr defaultColWidth="9.109375" defaultRowHeight="15.6"/>
  <cols>
    <col min="1" max="1" width="11.6640625" style="1" customWidth="1"/>
    <col min="2" max="7" width="15.6640625" style="1" customWidth="1"/>
    <col min="8" max="9" width="13.6640625" style="1" customWidth="1"/>
    <col min="10" max="11" width="15.6640625" style="1" customWidth="1"/>
    <col min="12" max="13" width="13.6640625" style="1" customWidth="1"/>
    <col min="14"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26" ht="15.75" customHeight="1">
      <c r="A1" s="23" t="s">
        <v>494</v>
      </c>
      <c r="B1" s="22"/>
      <c r="C1" s="5" t="s">
        <v>38</v>
      </c>
      <c r="D1" s="22"/>
      <c r="E1" s="22"/>
      <c r="F1" s="22"/>
      <c r="G1" s="22"/>
      <c r="H1" s="22"/>
      <c r="I1" s="22"/>
      <c r="J1" s="22"/>
      <c r="K1" s="2"/>
      <c r="L1" s="2"/>
      <c r="M1" s="2"/>
      <c r="N1"/>
      <c r="O1"/>
      <c r="P1"/>
      <c r="Q1"/>
      <c r="R1"/>
      <c r="S1"/>
      <c r="T1"/>
      <c r="U1"/>
      <c r="V1"/>
      <c r="W1"/>
      <c r="X1"/>
      <c r="Y1"/>
      <c r="Z1"/>
    </row>
    <row r="2" spans="1:26" ht="15.75" customHeight="1">
      <c r="A2" s="23"/>
      <c r="B2" s="22"/>
      <c r="C2" s="3"/>
      <c r="D2" s="3"/>
      <c r="E2" s="3"/>
      <c r="F2" s="3"/>
      <c r="G2" s="3"/>
      <c r="H2" s="19"/>
      <c r="I2" s="19"/>
      <c r="J2" s="4"/>
      <c r="K2" s="4"/>
      <c r="L2" s="4"/>
      <c r="M2" s="2"/>
      <c r="N2"/>
      <c r="O2"/>
      <c r="P2"/>
      <c r="Q2"/>
      <c r="R2"/>
      <c r="S2"/>
      <c r="T2"/>
      <c r="U2"/>
      <c r="V2"/>
      <c r="W2"/>
      <c r="X2"/>
      <c r="Y2"/>
      <c r="Z2"/>
    </row>
    <row r="3" spans="1:26">
      <c r="A3" s="1733" t="s">
        <v>529</v>
      </c>
      <c r="B3" s="1733"/>
      <c r="C3" s="1733"/>
      <c r="D3" s="1733"/>
      <c r="E3" s="1733"/>
      <c r="F3" s="1733"/>
      <c r="G3" s="1733"/>
      <c r="H3" s="1733"/>
      <c r="I3" s="1733"/>
      <c r="J3" s="1733"/>
      <c r="K3" s="1733"/>
      <c r="L3" s="1733"/>
      <c r="M3" s="2"/>
      <c r="W3"/>
      <c r="X3"/>
      <c r="Y3"/>
      <c r="Z3"/>
    </row>
    <row r="4" spans="1:26" ht="15.6" customHeight="1">
      <c r="A4" s="136"/>
      <c r="B4" s="136"/>
      <c r="C4" s="136"/>
      <c r="D4" s="136"/>
      <c r="E4" s="136"/>
      <c r="F4" s="136"/>
      <c r="G4" s="136"/>
      <c r="H4" s="136"/>
      <c r="I4" s="136"/>
      <c r="J4" s="136"/>
      <c r="K4" s="136"/>
      <c r="L4" s="136"/>
      <c r="M4" s="2"/>
      <c r="W4"/>
      <c r="X4"/>
      <c r="Y4"/>
      <c r="Z4"/>
    </row>
    <row r="5" spans="1:26" ht="15.6" customHeight="1">
      <c r="A5" s="1671" t="s">
        <v>179</v>
      </c>
      <c r="B5" s="1736" t="s">
        <v>528</v>
      </c>
      <c r="C5" s="1736"/>
      <c r="D5" s="1736"/>
      <c r="E5" s="466" t="s">
        <v>521</v>
      </c>
      <c r="F5" s="1736" t="s">
        <v>527</v>
      </c>
      <c r="G5" s="1736"/>
      <c r="H5" s="136"/>
      <c r="I5" s="136"/>
      <c r="J5" s="136"/>
      <c r="K5" s="136"/>
      <c r="L5" s="136"/>
      <c r="M5" s="2"/>
      <c r="W5"/>
      <c r="X5"/>
      <c r="Y5"/>
      <c r="Z5"/>
    </row>
    <row r="6" spans="1:26" ht="31.2" customHeight="1">
      <c r="A6" s="1671"/>
      <c r="B6" s="134" t="s">
        <v>518</v>
      </c>
      <c r="C6" s="134" t="s">
        <v>517</v>
      </c>
      <c r="D6" s="134" t="s">
        <v>526</v>
      </c>
      <c r="E6" s="134" t="s">
        <v>526</v>
      </c>
      <c r="F6" s="134" t="s">
        <v>525</v>
      </c>
      <c r="G6" s="134" t="s">
        <v>524</v>
      </c>
      <c r="H6" s="136"/>
      <c r="I6" s="136"/>
      <c r="J6" s="136"/>
      <c r="K6" s="136"/>
      <c r="L6" s="136"/>
      <c r="M6" s="2"/>
      <c r="W6"/>
      <c r="X6"/>
      <c r="Y6"/>
      <c r="Z6"/>
    </row>
    <row r="7" spans="1:26" ht="15.6" customHeight="1">
      <c r="A7" s="470">
        <v>2016</v>
      </c>
      <c r="B7" s="492">
        <v>4978</v>
      </c>
      <c r="C7" s="492">
        <v>5693</v>
      </c>
      <c r="D7" s="492">
        <v>6170</v>
      </c>
      <c r="E7" s="491">
        <v>1</v>
      </c>
      <c r="F7" s="491">
        <v>0.73</v>
      </c>
      <c r="G7" s="491">
        <v>0.90100000000000002</v>
      </c>
      <c r="H7" s="136"/>
      <c r="I7" s="136"/>
      <c r="J7" s="136"/>
      <c r="K7" s="136"/>
      <c r="L7" s="136"/>
      <c r="M7" s="2"/>
      <c r="W7"/>
      <c r="X7"/>
      <c r="Y7"/>
      <c r="Z7"/>
    </row>
    <row r="8" spans="1:26" ht="15.6" customHeight="1">
      <c r="A8" s="470">
        <v>2017</v>
      </c>
      <c r="B8" s="492">
        <v>4332</v>
      </c>
      <c r="C8" s="492">
        <v>5040</v>
      </c>
      <c r="D8" s="492">
        <v>5616</v>
      </c>
      <c r="E8" s="491">
        <v>1.0049999999999999</v>
      </c>
      <c r="F8" s="491">
        <v>0.73299999999999998</v>
      </c>
      <c r="G8" s="491">
        <v>0.90300000000000002</v>
      </c>
      <c r="H8" s="136"/>
      <c r="I8" s="136"/>
      <c r="J8" s="136"/>
      <c r="K8" s="136"/>
      <c r="L8" s="136"/>
      <c r="M8" s="2"/>
      <c r="W8"/>
      <c r="X8"/>
      <c r="Y8"/>
      <c r="Z8"/>
    </row>
    <row r="9" spans="1:26" ht="15.6" customHeight="1">
      <c r="A9" s="470">
        <v>2018</v>
      </c>
      <c r="B9" s="492">
        <v>5088</v>
      </c>
      <c r="C9" s="492">
        <v>5785</v>
      </c>
      <c r="D9" s="492">
        <v>6167</v>
      </c>
      <c r="E9" s="491">
        <v>1.0129999999999999</v>
      </c>
      <c r="F9" s="491">
        <v>0.73899999999999999</v>
      </c>
      <c r="G9" s="491">
        <v>0.90900000000000003</v>
      </c>
      <c r="H9" s="136"/>
      <c r="I9" s="136"/>
      <c r="J9" s="136"/>
      <c r="K9" s="136"/>
      <c r="L9" s="136"/>
      <c r="M9" s="2"/>
      <c r="W9"/>
      <c r="X9"/>
      <c r="Y9"/>
      <c r="Z9"/>
    </row>
    <row r="10" spans="1:26" ht="15.6" customHeight="1">
      <c r="A10" s="470">
        <v>2019</v>
      </c>
      <c r="B10" s="492">
        <v>4334</v>
      </c>
      <c r="C10" s="492">
        <v>5192</v>
      </c>
      <c r="D10" s="492">
        <v>5699</v>
      </c>
      <c r="E10" s="491">
        <v>1.0329999999999999</v>
      </c>
      <c r="F10" s="491">
        <v>0.747</v>
      </c>
      <c r="G10" s="491">
        <v>0.91300000000000003</v>
      </c>
      <c r="H10" s="136"/>
      <c r="I10" s="136"/>
      <c r="J10" s="136"/>
      <c r="K10" s="136"/>
      <c r="L10" s="136"/>
      <c r="M10" s="2"/>
      <c r="W10"/>
      <c r="X10"/>
      <c r="Y10"/>
      <c r="Z10"/>
    </row>
    <row r="11" spans="1:26" ht="15.6" customHeight="1">
      <c r="A11" s="470">
        <v>2020</v>
      </c>
      <c r="B11" s="492">
        <v>3704</v>
      </c>
      <c r="C11" s="492">
        <v>4298</v>
      </c>
      <c r="D11" s="492">
        <v>5029</v>
      </c>
      <c r="E11" s="491">
        <v>1.085</v>
      </c>
      <c r="F11" s="491">
        <v>0.751</v>
      </c>
      <c r="G11" s="491">
        <v>0.91700000000000004</v>
      </c>
      <c r="H11" s="136"/>
      <c r="I11" s="136"/>
      <c r="J11" s="136"/>
      <c r="K11" s="136"/>
      <c r="L11" s="136"/>
      <c r="M11" s="2"/>
      <c r="W11"/>
      <c r="X11"/>
      <c r="Y11"/>
      <c r="Z11"/>
    </row>
    <row r="12" spans="1:26" ht="15.6" customHeight="1">
      <c r="A12" s="470">
        <v>2021</v>
      </c>
      <c r="B12" s="492">
        <v>4222</v>
      </c>
      <c r="C12" s="492">
        <v>4640</v>
      </c>
      <c r="D12" s="492">
        <v>4721</v>
      </c>
      <c r="E12" s="491">
        <v>1.248</v>
      </c>
      <c r="F12" s="491">
        <v>0.76200000000000001</v>
      </c>
      <c r="G12" s="491">
        <v>0.95099999999999996</v>
      </c>
      <c r="H12" s="136"/>
      <c r="I12" s="136"/>
      <c r="J12" s="136"/>
      <c r="K12" s="136"/>
      <c r="L12" s="136"/>
      <c r="M12" s="2"/>
      <c r="W12"/>
      <c r="X12"/>
      <c r="Y12"/>
      <c r="Z12"/>
    </row>
    <row r="13" spans="1:26" ht="15.6" customHeight="1">
      <c r="A13" s="470">
        <v>2022</v>
      </c>
      <c r="B13" s="492">
        <v>3721</v>
      </c>
      <c r="C13" s="492">
        <v>3978</v>
      </c>
      <c r="D13" s="492">
        <v>3999</v>
      </c>
      <c r="E13" s="491">
        <v>1.7470000000000001</v>
      </c>
      <c r="F13" s="491">
        <v>0.78</v>
      </c>
      <c r="G13" s="491">
        <v>0.97499999999999998</v>
      </c>
      <c r="H13" s="136"/>
      <c r="I13" s="136"/>
      <c r="J13" s="136"/>
      <c r="K13" s="136"/>
      <c r="L13" s="136"/>
      <c r="M13" s="2"/>
      <c r="W13"/>
      <c r="X13"/>
      <c r="Y13"/>
      <c r="Z13"/>
    </row>
    <row r="14" spans="1:26" ht="15.6" customHeight="1">
      <c r="A14" s="136"/>
      <c r="B14" s="136"/>
      <c r="C14" s="136"/>
      <c r="D14" s="136"/>
      <c r="E14" s="136"/>
      <c r="F14" s="136"/>
      <c r="G14" s="136"/>
      <c r="H14" s="136"/>
      <c r="I14" s="136"/>
      <c r="J14" s="136"/>
      <c r="K14" s="136"/>
      <c r="L14" s="136"/>
      <c r="M14" s="2"/>
      <c r="W14"/>
      <c r="X14"/>
      <c r="Y14"/>
      <c r="Z14"/>
    </row>
    <row r="15" spans="1:26" ht="15.6" customHeight="1">
      <c r="A15" s="1733" t="s">
        <v>523</v>
      </c>
      <c r="B15" s="1733"/>
      <c r="C15" s="1733"/>
      <c r="D15" s="1733"/>
      <c r="E15" s="1733"/>
      <c r="F15" s="1733"/>
      <c r="G15" s="1733"/>
      <c r="H15" s="1733"/>
      <c r="I15" s="1733"/>
      <c r="J15" s="1733"/>
      <c r="K15" s="1733"/>
      <c r="L15" s="1733"/>
      <c r="M15" s="1733"/>
      <c r="W15"/>
      <c r="X15"/>
      <c r="Y15"/>
      <c r="Z15"/>
    </row>
    <row r="16" spans="1:26">
      <c r="A16" s="3"/>
      <c r="B16" s="161"/>
      <c r="C16" s="2"/>
      <c r="D16" s="2"/>
      <c r="E16" s="2"/>
      <c r="F16" s="2"/>
      <c r="G16" s="2"/>
      <c r="H16" s="2"/>
      <c r="I16" s="2"/>
      <c r="J16" s="2"/>
      <c r="K16" s="2"/>
      <c r="L16" s="2"/>
      <c r="M16" s="2"/>
      <c r="N16"/>
      <c r="O16"/>
      <c r="P16"/>
      <c r="Q16"/>
      <c r="R16"/>
      <c r="S16"/>
      <c r="T16"/>
      <c r="U16"/>
      <c r="V16"/>
      <c r="W16"/>
      <c r="X16"/>
      <c r="Y16"/>
      <c r="Z16"/>
    </row>
    <row r="17" spans="1:26">
      <c r="A17" s="3" t="s">
        <v>80</v>
      </c>
      <c r="B17" s="3" t="s">
        <v>522</v>
      </c>
      <c r="C17" s="3"/>
      <c r="D17" s="3"/>
      <c r="E17" s="3"/>
      <c r="F17" s="3"/>
      <c r="G17" s="3"/>
      <c r="H17" s="3"/>
      <c r="I17" s="2"/>
      <c r="J17" s="2"/>
      <c r="K17" s="2"/>
      <c r="L17" s="2"/>
      <c r="M17" s="2"/>
      <c r="N17"/>
      <c r="O17"/>
      <c r="P17"/>
      <c r="Q17"/>
      <c r="R17"/>
      <c r="S17"/>
      <c r="T17"/>
      <c r="U17"/>
      <c r="V17"/>
      <c r="W17"/>
      <c r="X17"/>
      <c r="Y17"/>
      <c r="Z17"/>
    </row>
    <row r="18" spans="1:26" ht="16.2">
      <c r="A18" s="3"/>
      <c r="B18" s="5" t="s">
        <v>64</v>
      </c>
      <c r="C18" s="44"/>
      <c r="D18" s="44"/>
      <c r="E18" s="44"/>
      <c r="F18" s="44"/>
      <c r="G18" s="44"/>
      <c r="H18" s="44"/>
      <c r="I18" s="44"/>
      <c r="J18" s="44"/>
      <c r="K18" s="44"/>
      <c r="L18" s="44"/>
      <c r="M18" s="2"/>
      <c r="N18"/>
      <c r="O18"/>
      <c r="P18"/>
      <c r="Q18"/>
      <c r="R18"/>
      <c r="S18"/>
      <c r="T18"/>
      <c r="U18"/>
      <c r="V18"/>
      <c r="W18"/>
      <c r="X18"/>
      <c r="Y18"/>
      <c r="Z18"/>
    </row>
    <row r="19" spans="1:26">
      <c r="N19"/>
      <c r="O19"/>
      <c r="P19"/>
      <c r="Q19"/>
      <c r="R19"/>
      <c r="S19"/>
      <c r="T19"/>
      <c r="U19"/>
      <c r="V19"/>
      <c r="W19"/>
      <c r="X19"/>
      <c r="Y19"/>
      <c r="Z19"/>
    </row>
    <row r="20" spans="1:26">
      <c r="A20" s="1737" t="s">
        <v>47</v>
      </c>
      <c r="B20" s="1738" t="s">
        <v>521</v>
      </c>
      <c r="C20" s="1739"/>
      <c r="D20" s="1740" t="s">
        <v>520</v>
      </c>
      <c r="E20" s="1740"/>
      <c r="F20" s="1740"/>
      <c r="G20" s="36" t="s">
        <v>519</v>
      </c>
      <c r="N20"/>
      <c r="O20"/>
      <c r="P20"/>
      <c r="Q20"/>
      <c r="R20"/>
      <c r="S20"/>
      <c r="T20"/>
      <c r="U20"/>
      <c r="V20"/>
      <c r="W20"/>
      <c r="X20"/>
      <c r="Y20"/>
      <c r="Z20"/>
    </row>
    <row r="21" spans="1:26" ht="31.2">
      <c r="A21" s="1737"/>
      <c r="B21" s="488" t="s">
        <v>518</v>
      </c>
      <c r="C21" s="488" t="s">
        <v>517</v>
      </c>
      <c r="D21" s="488" t="s">
        <v>518</v>
      </c>
      <c r="E21" s="488" t="s">
        <v>517</v>
      </c>
      <c r="F21" s="488" t="s">
        <v>516</v>
      </c>
      <c r="G21" s="488" t="s">
        <v>516</v>
      </c>
      <c r="N21"/>
      <c r="O21"/>
      <c r="P21"/>
      <c r="Q21"/>
      <c r="R21"/>
      <c r="S21"/>
      <c r="T21"/>
      <c r="U21"/>
      <c r="V21"/>
      <c r="W21"/>
      <c r="X21"/>
      <c r="Y21"/>
      <c r="Z21"/>
    </row>
    <row r="22" spans="1:26">
      <c r="A22" s="194">
        <v>2016</v>
      </c>
      <c r="B22" s="487">
        <f t="shared" ref="B22:C28" si="0">$E7*F$7/F7</f>
        <v>1</v>
      </c>
      <c r="C22" s="487">
        <f t="shared" si="0"/>
        <v>1</v>
      </c>
      <c r="D22" s="372">
        <f t="shared" ref="D22:E28" si="1">B7*B22</f>
        <v>4978</v>
      </c>
      <c r="E22" s="372">
        <f t="shared" si="1"/>
        <v>5693</v>
      </c>
      <c r="F22" s="372">
        <f t="shared" ref="F22:F28" si="2">E22-D22</f>
        <v>715</v>
      </c>
      <c r="G22" s="372">
        <f t="shared" ref="G22:G28" si="3">F22-(C7-B7)</f>
        <v>0</v>
      </c>
      <c r="N22"/>
      <c r="O22"/>
      <c r="P22"/>
      <c r="Q22"/>
      <c r="R22"/>
      <c r="S22"/>
      <c r="T22"/>
      <c r="U22"/>
      <c r="V22"/>
      <c r="W22"/>
      <c r="X22"/>
      <c r="Y22"/>
      <c r="Z22"/>
    </row>
    <row r="23" spans="1:26">
      <c r="A23" s="194">
        <v>2017</v>
      </c>
      <c r="B23" s="487">
        <f t="shared" si="0"/>
        <v>1.0008867667121417</v>
      </c>
      <c r="C23" s="487">
        <f t="shared" si="0"/>
        <v>1.0027740863787373</v>
      </c>
      <c r="D23" s="372">
        <f t="shared" si="1"/>
        <v>4335.8414733969976</v>
      </c>
      <c r="E23" s="372">
        <f t="shared" si="1"/>
        <v>5053.9813953488365</v>
      </c>
      <c r="F23" s="372">
        <f t="shared" si="2"/>
        <v>718.13992195183891</v>
      </c>
      <c r="G23" s="372">
        <f t="shared" si="3"/>
        <v>10.139921951838915</v>
      </c>
      <c r="N23"/>
      <c r="O23"/>
      <c r="P23"/>
      <c r="Q23"/>
      <c r="R23"/>
      <c r="S23"/>
      <c r="T23"/>
      <c r="U23"/>
      <c r="V23"/>
      <c r="W23"/>
      <c r="X23"/>
      <c r="Y23"/>
      <c r="Z23"/>
    </row>
    <row r="24" spans="1:26">
      <c r="A24" s="194">
        <v>2018</v>
      </c>
      <c r="B24" s="487">
        <f t="shared" si="0"/>
        <v>1.0006630581867386</v>
      </c>
      <c r="C24" s="487">
        <f t="shared" si="0"/>
        <v>1.0040847084708469</v>
      </c>
      <c r="D24" s="372">
        <f t="shared" si="1"/>
        <v>5091.3736400541256</v>
      </c>
      <c r="E24" s="372">
        <f t="shared" si="1"/>
        <v>5808.6300385038494</v>
      </c>
      <c r="F24" s="372">
        <f t="shared" si="2"/>
        <v>717.25639844972375</v>
      </c>
      <c r="G24" s="372">
        <f t="shared" si="3"/>
        <v>20.256398449723747</v>
      </c>
      <c r="N24"/>
      <c r="O24"/>
      <c r="P24"/>
      <c r="Q24"/>
      <c r="R24"/>
      <c r="S24"/>
      <c r="T24"/>
      <c r="U24"/>
      <c r="V24"/>
      <c r="W24"/>
      <c r="X24"/>
      <c r="Y24"/>
      <c r="Z24"/>
    </row>
    <row r="25" spans="1:26">
      <c r="A25" s="194">
        <v>2019</v>
      </c>
      <c r="B25" s="487">
        <f t="shared" si="0"/>
        <v>1.0094912985274429</v>
      </c>
      <c r="C25" s="487">
        <f t="shared" si="0"/>
        <v>1.0194227820372397</v>
      </c>
      <c r="D25" s="372">
        <f t="shared" si="1"/>
        <v>4375.1352878179378</v>
      </c>
      <c r="E25" s="372">
        <f t="shared" si="1"/>
        <v>5292.843084337348</v>
      </c>
      <c r="F25" s="372">
        <f t="shared" si="2"/>
        <v>917.70779651941029</v>
      </c>
      <c r="G25" s="372">
        <f t="shared" si="3"/>
        <v>59.707796519410294</v>
      </c>
      <c r="N25"/>
      <c r="O25"/>
      <c r="P25"/>
      <c r="Q25"/>
      <c r="R25"/>
      <c r="S25"/>
      <c r="T25"/>
      <c r="U25"/>
      <c r="V25"/>
      <c r="W25"/>
      <c r="X25"/>
      <c r="Y25"/>
      <c r="Z25"/>
    </row>
    <row r="26" spans="1:26">
      <c r="A26" s="194">
        <v>2020</v>
      </c>
      <c r="B26" s="487">
        <f t="shared" si="0"/>
        <v>1.0546604527296937</v>
      </c>
      <c r="C26" s="487">
        <f t="shared" si="0"/>
        <v>1.0660687022900763</v>
      </c>
      <c r="D26" s="372">
        <f t="shared" si="1"/>
        <v>3906.4623169107854</v>
      </c>
      <c r="E26" s="372">
        <f t="shared" si="1"/>
        <v>4581.9632824427481</v>
      </c>
      <c r="F26" s="372">
        <f t="shared" si="2"/>
        <v>675.50096553196272</v>
      </c>
      <c r="G26" s="372">
        <f t="shared" si="3"/>
        <v>81.50096553196272</v>
      </c>
      <c r="N26"/>
      <c r="O26"/>
      <c r="P26"/>
      <c r="Q26"/>
      <c r="R26"/>
      <c r="S26"/>
      <c r="T26"/>
      <c r="U26"/>
      <c r="V26"/>
      <c r="W26"/>
      <c r="X26"/>
      <c r="Y26"/>
      <c r="Z26"/>
    </row>
    <row r="27" spans="1:26">
      <c r="A27" s="194">
        <v>2021</v>
      </c>
      <c r="B27" s="487">
        <f t="shared" si="0"/>
        <v>1.1955905511811022</v>
      </c>
      <c r="C27" s="487">
        <f t="shared" si="0"/>
        <v>1.1823848580441643</v>
      </c>
      <c r="D27" s="372">
        <f t="shared" si="1"/>
        <v>5047.7833070866136</v>
      </c>
      <c r="E27" s="372">
        <f t="shared" si="1"/>
        <v>5486.2657413249226</v>
      </c>
      <c r="F27" s="372">
        <f t="shared" si="2"/>
        <v>438.482434238309</v>
      </c>
      <c r="G27" s="372">
        <f t="shared" si="3"/>
        <v>20.482434238308997</v>
      </c>
      <c r="N27"/>
      <c r="O27"/>
      <c r="P27"/>
      <c r="Q27"/>
      <c r="R27"/>
      <c r="S27"/>
      <c r="T27"/>
      <c r="U27"/>
      <c r="V27"/>
      <c r="W27"/>
      <c r="X27"/>
      <c r="Y27"/>
      <c r="Z27"/>
    </row>
    <row r="28" spans="1:26">
      <c r="A28" s="194">
        <v>2022</v>
      </c>
      <c r="B28" s="487">
        <f t="shared" si="0"/>
        <v>1.6350128205128205</v>
      </c>
      <c r="C28" s="487">
        <f t="shared" si="0"/>
        <v>1.6144071794871797</v>
      </c>
      <c r="D28" s="372">
        <f t="shared" si="1"/>
        <v>6083.8827051282051</v>
      </c>
      <c r="E28" s="372">
        <f t="shared" si="1"/>
        <v>6422.1117600000007</v>
      </c>
      <c r="F28" s="372">
        <f t="shared" si="2"/>
        <v>338.2290548717956</v>
      </c>
      <c r="G28" s="372">
        <f t="shared" si="3"/>
        <v>81.229054871795597</v>
      </c>
      <c r="N28"/>
      <c r="O28"/>
      <c r="P28"/>
      <c r="Q28"/>
      <c r="R28"/>
      <c r="S28"/>
      <c r="T28"/>
      <c r="U28"/>
      <c r="V28"/>
      <c r="W28"/>
      <c r="X28"/>
      <c r="Y28"/>
      <c r="Z28"/>
    </row>
    <row r="29" spans="1:26">
      <c r="F29" s="486" t="s">
        <v>72</v>
      </c>
      <c r="G29" s="371">
        <f>SUM(G22:G28)</f>
        <v>273.31657156304027</v>
      </c>
      <c r="N29"/>
      <c r="O29"/>
      <c r="P29"/>
      <c r="Q29"/>
      <c r="R29"/>
      <c r="S29"/>
      <c r="T29"/>
      <c r="U29"/>
      <c r="V29"/>
      <c r="W29"/>
      <c r="X29"/>
      <c r="Y29"/>
      <c r="Z29"/>
    </row>
    <row r="30" spans="1:26">
      <c r="N30"/>
      <c r="O30"/>
      <c r="P30"/>
      <c r="Q30"/>
      <c r="R30"/>
      <c r="S30"/>
      <c r="T30"/>
      <c r="U30"/>
      <c r="V30"/>
      <c r="W30"/>
      <c r="X30"/>
      <c r="Y30"/>
      <c r="Z30"/>
    </row>
    <row r="31" spans="1:26">
      <c r="A31" s="3" t="s">
        <v>9</v>
      </c>
      <c r="B31" s="3" t="s">
        <v>515</v>
      </c>
      <c r="C31" s="3"/>
      <c r="D31" s="3"/>
      <c r="E31" s="3"/>
      <c r="F31" s="3"/>
      <c r="G31" s="3"/>
      <c r="H31" s="3"/>
      <c r="I31" s="2"/>
      <c r="J31" s="2"/>
      <c r="K31" s="2"/>
      <c r="L31" s="2"/>
      <c r="M31" s="2"/>
      <c r="N31"/>
      <c r="O31"/>
      <c r="P31"/>
      <c r="Q31"/>
      <c r="R31"/>
      <c r="S31"/>
      <c r="T31"/>
      <c r="U31"/>
      <c r="V31"/>
      <c r="W31"/>
      <c r="X31"/>
      <c r="Y31"/>
      <c r="Z31"/>
    </row>
    <row r="32" spans="1:26" ht="16.2">
      <c r="A32" s="3"/>
      <c r="B32" s="5" t="s">
        <v>64</v>
      </c>
      <c r="C32" s="44"/>
      <c r="D32" s="44"/>
      <c r="E32" s="44"/>
      <c r="F32" s="44"/>
      <c r="G32" s="44"/>
      <c r="H32" s="44"/>
      <c r="I32" s="44"/>
      <c r="J32" s="44"/>
      <c r="K32" s="44"/>
      <c r="L32" s="44"/>
      <c r="M32" s="2"/>
      <c r="N32"/>
      <c r="O32"/>
      <c r="P32"/>
      <c r="Q32"/>
      <c r="R32"/>
      <c r="S32"/>
      <c r="T32"/>
      <c r="U32"/>
      <c r="V32"/>
      <c r="W32"/>
      <c r="X32"/>
      <c r="Y32"/>
      <c r="Z32"/>
    </row>
    <row r="33" spans="1:26">
      <c r="B33" s="1686" t="s">
        <v>514</v>
      </c>
      <c r="C33" s="1686"/>
      <c r="D33" s="1686"/>
      <c r="E33" s="1686"/>
      <c r="F33" s="1686"/>
      <c r="G33" s="1686"/>
      <c r="H33" s="1686"/>
      <c r="I33" s="1686"/>
      <c r="J33" s="1686"/>
      <c r="K33" s="1686"/>
      <c r="L33" s="1686"/>
      <c r="M33" s="1686"/>
      <c r="N33"/>
      <c r="O33"/>
      <c r="P33"/>
      <c r="Q33"/>
      <c r="R33"/>
      <c r="S33"/>
      <c r="T33"/>
      <c r="U33"/>
      <c r="V33"/>
      <c r="W33"/>
      <c r="X33"/>
      <c r="Y33"/>
      <c r="Z33"/>
    </row>
    <row r="34" spans="1:26">
      <c r="B34" s="1686"/>
      <c r="C34" s="1686"/>
      <c r="D34" s="1686"/>
      <c r="E34" s="1686"/>
      <c r="F34" s="1686"/>
      <c r="G34" s="1686"/>
      <c r="H34" s="1686"/>
      <c r="I34" s="1686"/>
      <c r="J34" s="1686"/>
      <c r="K34" s="1686"/>
      <c r="L34" s="1686"/>
      <c r="M34" s="1686"/>
      <c r="N34"/>
      <c r="O34"/>
      <c r="P34"/>
      <c r="Q34"/>
      <c r="R34"/>
      <c r="S34"/>
      <c r="T34"/>
      <c r="U34"/>
      <c r="V34"/>
      <c r="W34"/>
      <c r="X34"/>
      <c r="Y34"/>
      <c r="Z34"/>
    </row>
    <row r="35" spans="1:26">
      <c r="B35" s="1686"/>
      <c r="C35" s="1686"/>
      <c r="D35" s="1686"/>
      <c r="E35" s="1686"/>
      <c r="F35" s="1686"/>
      <c r="G35" s="1686"/>
      <c r="H35" s="1686"/>
      <c r="I35" s="1686"/>
      <c r="J35" s="1686"/>
      <c r="K35" s="1686"/>
      <c r="L35" s="1686"/>
      <c r="M35" s="1686"/>
      <c r="N35"/>
      <c r="O35"/>
      <c r="P35"/>
      <c r="Q35"/>
      <c r="R35"/>
      <c r="S35"/>
      <c r="T35"/>
      <c r="U35"/>
      <c r="V35"/>
      <c r="W35"/>
      <c r="X35"/>
      <c r="Y35"/>
      <c r="Z35"/>
    </row>
    <row r="36" spans="1:26">
      <c r="A36" s="3" t="s">
        <v>513</v>
      </c>
      <c r="B36" s="161"/>
      <c r="C36" s="2"/>
      <c r="D36" s="2"/>
      <c r="E36" s="2"/>
      <c r="F36" s="2"/>
      <c r="G36" s="2"/>
      <c r="H36" s="2"/>
      <c r="I36" s="2"/>
      <c r="J36" s="2"/>
      <c r="K36" s="2"/>
      <c r="L36" s="2"/>
      <c r="M36" s="2"/>
      <c r="N36"/>
      <c r="O36"/>
      <c r="P36"/>
      <c r="Q36"/>
      <c r="R36"/>
      <c r="S36"/>
      <c r="T36"/>
      <c r="U36"/>
      <c r="V36"/>
      <c r="W36"/>
      <c r="X36"/>
      <c r="Y36"/>
      <c r="Z36"/>
    </row>
    <row r="37" spans="1:26">
      <c r="A37" s="3"/>
      <c r="B37" s="161"/>
      <c r="C37" s="2"/>
      <c r="D37" s="2"/>
      <c r="E37" s="2"/>
      <c r="F37" s="2"/>
      <c r="G37" s="2"/>
      <c r="H37" s="2"/>
      <c r="I37" s="2"/>
      <c r="J37" s="2"/>
      <c r="K37" s="2"/>
      <c r="L37" s="2"/>
      <c r="M37" s="2"/>
      <c r="N37"/>
      <c r="O37"/>
      <c r="P37"/>
      <c r="Q37"/>
      <c r="R37"/>
      <c r="S37"/>
      <c r="T37"/>
      <c r="U37"/>
      <c r="V37"/>
      <c r="W37"/>
      <c r="X37"/>
      <c r="Y37"/>
      <c r="Z37"/>
    </row>
    <row r="38" spans="1:26">
      <c r="A38" s="484" t="s">
        <v>512</v>
      </c>
      <c r="B38" s="161"/>
      <c r="C38" s="2"/>
      <c r="D38" s="2"/>
      <c r="E38" s="2"/>
      <c r="F38" s="2"/>
      <c r="G38" s="2"/>
      <c r="H38" s="2"/>
      <c r="I38" s="2"/>
      <c r="J38" s="483" t="s">
        <v>511</v>
      </c>
      <c r="K38" s="482"/>
      <c r="L38" s="482">
        <v>5019000</v>
      </c>
      <c r="M38" s="2"/>
      <c r="N38"/>
      <c r="O38"/>
      <c r="P38"/>
      <c r="Q38"/>
      <c r="R38"/>
      <c r="S38"/>
      <c r="T38"/>
      <c r="U38"/>
      <c r="V38"/>
      <c r="W38"/>
      <c r="X38"/>
      <c r="Y38"/>
      <c r="Z38"/>
    </row>
    <row r="39" spans="1:26">
      <c r="A39" s="484" t="s">
        <v>510</v>
      </c>
      <c r="B39" s="161"/>
      <c r="C39" s="2"/>
      <c r="D39" s="2"/>
      <c r="E39" s="2"/>
      <c r="F39" s="2"/>
      <c r="G39" s="2"/>
      <c r="H39" s="2"/>
      <c r="I39" s="2"/>
      <c r="J39" s="483" t="s">
        <v>509</v>
      </c>
      <c r="K39" s="482"/>
      <c r="L39" s="485">
        <v>1.19</v>
      </c>
      <c r="M39" s="2"/>
      <c r="N39"/>
      <c r="O39"/>
      <c r="P39"/>
      <c r="Q39"/>
      <c r="R39"/>
      <c r="S39"/>
      <c r="T39"/>
      <c r="U39"/>
      <c r="V39"/>
      <c r="W39"/>
      <c r="X39"/>
      <c r="Y39"/>
      <c r="Z39"/>
    </row>
    <row r="40" spans="1:26">
      <c r="A40" s="484" t="s">
        <v>508</v>
      </c>
      <c r="B40" s="161"/>
      <c r="C40" s="2"/>
      <c r="D40" s="2"/>
      <c r="E40" s="2"/>
      <c r="F40" s="2"/>
      <c r="G40" s="2"/>
      <c r="H40" s="2"/>
      <c r="I40" s="2"/>
      <c r="J40" s="483" t="s">
        <v>507</v>
      </c>
      <c r="K40" s="482"/>
      <c r="L40" s="481">
        <v>2.1999999999999999E-2</v>
      </c>
      <c r="M40" s="2"/>
      <c r="N40"/>
      <c r="O40"/>
      <c r="P40"/>
      <c r="Q40"/>
      <c r="R40"/>
      <c r="S40"/>
      <c r="T40"/>
      <c r="U40"/>
      <c r="V40"/>
      <c r="W40"/>
      <c r="X40"/>
      <c r="Y40"/>
      <c r="Z40"/>
    </row>
    <row r="41" spans="1:26">
      <c r="A41" s="484" t="s">
        <v>506</v>
      </c>
      <c r="B41" s="161"/>
      <c r="C41" s="2"/>
      <c r="D41" s="2"/>
      <c r="E41" s="2"/>
      <c r="F41" s="2"/>
      <c r="G41" s="2"/>
      <c r="H41" s="2"/>
      <c r="I41" s="2"/>
      <c r="J41" s="483" t="s">
        <v>505</v>
      </c>
      <c r="K41" s="482"/>
      <c r="L41" s="481">
        <v>0.01</v>
      </c>
      <c r="M41" s="2"/>
      <c r="N41"/>
      <c r="O41"/>
      <c r="P41"/>
      <c r="Q41"/>
      <c r="R41"/>
      <c r="S41"/>
      <c r="T41"/>
      <c r="U41"/>
      <c r="V41"/>
      <c r="W41"/>
      <c r="X41"/>
      <c r="Y41"/>
      <c r="Z41"/>
    </row>
    <row r="42" spans="1:26">
      <c r="A42" s="3"/>
      <c r="B42" s="161"/>
      <c r="C42" s="2"/>
      <c r="D42" s="2"/>
      <c r="E42" s="2"/>
      <c r="F42" s="2"/>
      <c r="G42" s="2"/>
      <c r="H42" s="2"/>
      <c r="I42" s="2"/>
      <c r="J42" s="2"/>
      <c r="K42" s="2"/>
      <c r="L42" s="2"/>
      <c r="M42" s="2"/>
      <c r="N42"/>
      <c r="O42"/>
      <c r="P42"/>
      <c r="Q42"/>
      <c r="R42"/>
      <c r="S42"/>
      <c r="T42"/>
      <c r="U42"/>
      <c r="V42"/>
      <c r="W42"/>
      <c r="X42"/>
      <c r="Y42"/>
      <c r="Z42"/>
    </row>
    <row r="43" spans="1:26">
      <c r="A43" s="3" t="s">
        <v>7</v>
      </c>
      <c r="B43" s="3" t="s">
        <v>504</v>
      </c>
      <c r="C43" s="3"/>
      <c r="D43" s="3"/>
      <c r="E43" s="3"/>
      <c r="F43" s="3"/>
      <c r="G43" s="3"/>
      <c r="H43" s="3"/>
      <c r="I43" s="2"/>
      <c r="J43" s="2"/>
      <c r="K43" s="2"/>
      <c r="L43" s="2"/>
      <c r="M43" s="2"/>
      <c r="N43"/>
      <c r="O43"/>
      <c r="P43"/>
      <c r="Q43"/>
      <c r="R43"/>
      <c r="S43"/>
      <c r="T43"/>
      <c r="U43"/>
      <c r="V43"/>
      <c r="W43"/>
      <c r="X43"/>
      <c r="Y43"/>
      <c r="Z43"/>
    </row>
    <row r="44" spans="1:26" ht="16.2">
      <c r="A44" s="3"/>
      <c r="B44" s="5" t="s">
        <v>64</v>
      </c>
      <c r="C44" s="44"/>
      <c r="D44" s="44"/>
      <c r="E44" s="44"/>
      <c r="F44" s="44"/>
      <c r="G44" s="44"/>
      <c r="H44" s="44"/>
      <c r="I44" s="44"/>
      <c r="J44" s="44"/>
      <c r="K44" s="44"/>
      <c r="L44" s="44"/>
      <c r="M44" s="2"/>
      <c r="N44"/>
      <c r="O44"/>
      <c r="P44"/>
      <c r="Q44"/>
      <c r="R44"/>
      <c r="S44"/>
      <c r="T44"/>
      <c r="U44"/>
      <c r="V44"/>
      <c r="W44"/>
      <c r="X44"/>
      <c r="Y44"/>
      <c r="Z44"/>
    </row>
    <row r="45" spans="1:26">
      <c r="E45" s="277" t="s">
        <v>503</v>
      </c>
      <c r="N45"/>
      <c r="O45"/>
      <c r="P45"/>
      <c r="Q45"/>
      <c r="R45"/>
      <c r="S45"/>
      <c r="T45"/>
      <c r="U45"/>
      <c r="V45"/>
      <c r="W45"/>
      <c r="X45"/>
      <c r="Y45"/>
      <c r="Z45"/>
    </row>
    <row r="46" spans="1:26">
      <c r="B46" s="1" t="s">
        <v>502</v>
      </c>
      <c r="E46" s="480">
        <f>(1+L40)/(1+L41)</f>
        <v>1.0118811881188119</v>
      </c>
      <c r="H46" s="277" t="s">
        <v>501</v>
      </c>
      <c r="I46" s="277" t="s">
        <v>278</v>
      </c>
      <c r="L46" s="479"/>
      <c r="N46"/>
      <c r="O46"/>
      <c r="P46"/>
      <c r="Q46"/>
      <c r="R46"/>
      <c r="S46"/>
      <c r="T46"/>
      <c r="U46"/>
      <c r="V46"/>
      <c r="W46"/>
      <c r="X46"/>
      <c r="Y46"/>
      <c r="Z46"/>
    </row>
    <row r="47" spans="1:26">
      <c r="B47" s="1" t="s">
        <v>500</v>
      </c>
      <c r="E47" s="478">
        <f>L39*E46^J47</f>
        <v>1.2256621265523653</v>
      </c>
      <c r="G47" s="1" t="s">
        <v>499</v>
      </c>
      <c r="H47" s="477">
        <v>43831</v>
      </c>
      <c r="I47" s="477">
        <v>44743</v>
      </c>
      <c r="J47" s="476">
        <f>ROUND((I47-H47)/365,1)</f>
        <v>2.5</v>
      </c>
      <c r="K47" s="1" t="s">
        <v>498</v>
      </c>
      <c r="L47" s="475"/>
      <c r="N47"/>
      <c r="O47"/>
      <c r="P47"/>
      <c r="Q47"/>
      <c r="R47"/>
      <c r="S47"/>
      <c r="T47"/>
      <c r="U47"/>
      <c r="V47"/>
      <c r="W47"/>
      <c r="X47"/>
      <c r="Y47"/>
      <c r="Z47"/>
    </row>
    <row r="48" spans="1:26">
      <c r="B48" s="1" t="s">
        <v>497</v>
      </c>
      <c r="E48" s="474">
        <f>L38*E47/1000</f>
        <v>6151.5982131663213</v>
      </c>
      <c r="M48"/>
      <c r="N48"/>
      <c r="O48"/>
      <c r="P48"/>
      <c r="Q48"/>
      <c r="R48"/>
      <c r="S48"/>
      <c r="T48"/>
      <c r="U48"/>
      <c r="V48"/>
      <c r="W48"/>
      <c r="X48"/>
      <c r="Y48"/>
      <c r="Z48"/>
    </row>
    <row r="49" spans="2:26">
      <c r="B49" s="1" t="s">
        <v>496</v>
      </c>
      <c r="E49" s="474">
        <f>E48-L38/1000</f>
        <v>1132.5982131663213</v>
      </c>
      <c r="M49"/>
      <c r="N49"/>
      <c r="O49"/>
      <c r="P49"/>
      <c r="Q49"/>
      <c r="R49"/>
      <c r="S49"/>
      <c r="T49"/>
      <c r="U49"/>
      <c r="V49"/>
      <c r="W49"/>
      <c r="X49"/>
      <c r="Y49"/>
      <c r="Z49"/>
    </row>
    <row r="50" spans="2:26">
      <c r="B50" s="275" t="s">
        <v>495</v>
      </c>
      <c r="C50" s="275"/>
      <c r="D50" s="275"/>
      <c r="E50" s="473">
        <f>E49-(C13-B13)</f>
        <v>875.59821316632133</v>
      </c>
      <c r="M50"/>
      <c r="N50"/>
      <c r="O50"/>
      <c r="P50"/>
      <c r="Q50"/>
      <c r="R50"/>
      <c r="S50"/>
      <c r="T50"/>
      <c r="U50"/>
      <c r="V50"/>
      <c r="W50"/>
      <c r="X50"/>
      <c r="Y50"/>
      <c r="Z50"/>
    </row>
    <row r="51" spans="2:26">
      <c r="M51"/>
      <c r="N51"/>
      <c r="O51"/>
      <c r="P51"/>
      <c r="Q51"/>
      <c r="R51"/>
      <c r="S51"/>
      <c r="T51"/>
      <c r="U51"/>
      <c r="V51"/>
      <c r="W51"/>
      <c r="X51"/>
      <c r="Y51"/>
      <c r="Z51"/>
    </row>
    <row r="52" spans="2:26">
      <c r="M52"/>
      <c r="N52"/>
      <c r="O52"/>
      <c r="P52"/>
      <c r="Q52"/>
      <c r="R52"/>
      <c r="S52"/>
      <c r="T52"/>
      <c r="U52"/>
      <c r="V52"/>
      <c r="W52"/>
      <c r="X52"/>
      <c r="Y52"/>
      <c r="Z52"/>
    </row>
    <row r="53" spans="2:26">
      <c r="B53" s="472"/>
      <c r="M53"/>
      <c r="N53"/>
      <c r="O53"/>
      <c r="P53"/>
      <c r="Q53"/>
      <c r="R53"/>
      <c r="S53"/>
      <c r="T53"/>
      <c r="U53"/>
      <c r="V53"/>
      <c r="W53"/>
      <c r="X53"/>
      <c r="Y53"/>
      <c r="Z53"/>
    </row>
    <row r="54" spans="2:26">
      <c r="M54"/>
      <c r="N54"/>
      <c r="O54"/>
      <c r="P54"/>
      <c r="Q54"/>
      <c r="R54"/>
      <c r="S54"/>
      <c r="T54"/>
      <c r="U54"/>
      <c r="V54"/>
      <c r="W54"/>
      <c r="X54"/>
      <c r="Y54"/>
      <c r="Z54"/>
    </row>
    <row r="55" spans="2:26">
      <c r="M55"/>
      <c r="N55"/>
      <c r="O55"/>
      <c r="P55"/>
      <c r="Q55"/>
      <c r="R55"/>
      <c r="S55"/>
      <c r="T55"/>
      <c r="U55"/>
      <c r="V55"/>
      <c r="W55"/>
      <c r="X55"/>
      <c r="Y55"/>
      <c r="Z55"/>
    </row>
    <row r="56" spans="2:26">
      <c r="M56"/>
      <c r="N56"/>
      <c r="O56"/>
      <c r="P56"/>
      <c r="Q56"/>
      <c r="R56"/>
      <c r="S56"/>
      <c r="T56"/>
      <c r="U56"/>
      <c r="V56"/>
      <c r="W56"/>
      <c r="X56"/>
      <c r="Y56"/>
      <c r="Z56"/>
    </row>
    <row r="57" spans="2:26">
      <c r="M57"/>
      <c r="N57"/>
      <c r="O57"/>
      <c r="P57"/>
      <c r="Q57"/>
      <c r="R57"/>
      <c r="S57"/>
      <c r="T57"/>
      <c r="U57"/>
      <c r="V57"/>
      <c r="W57"/>
      <c r="X57"/>
      <c r="Y57"/>
      <c r="Z57"/>
    </row>
    <row r="58" spans="2:26">
      <c r="M58"/>
      <c r="N58"/>
      <c r="O58"/>
      <c r="P58"/>
      <c r="Q58"/>
      <c r="R58"/>
      <c r="S58"/>
      <c r="T58"/>
      <c r="U58"/>
      <c r="V58"/>
      <c r="W58"/>
      <c r="X58"/>
      <c r="Y58"/>
      <c r="Z58"/>
    </row>
    <row r="59" spans="2:26">
      <c r="M59"/>
      <c r="N59"/>
      <c r="O59"/>
      <c r="P59"/>
      <c r="Q59"/>
      <c r="R59"/>
      <c r="S59"/>
      <c r="T59"/>
      <c r="U59"/>
      <c r="V59"/>
      <c r="W59"/>
      <c r="X59"/>
      <c r="Y59"/>
      <c r="Z59"/>
    </row>
    <row r="60" spans="2:26">
      <c r="M60"/>
      <c r="N60"/>
      <c r="O60"/>
      <c r="P60"/>
      <c r="Q60"/>
      <c r="R60"/>
      <c r="S60"/>
      <c r="T60"/>
      <c r="U60"/>
      <c r="V60"/>
      <c r="W60"/>
      <c r="X60"/>
      <c r="Y60"/>
      <c r="Z60"/>
    </row>
    <row r="61" spans="2:26">
      <c r="M61"/>
      <c r="N61"/>
      <c r="O61"/>
      <c r="P61"/>
      <c r="Q61"/>
      <c r="R61"/>
      <c r="S61"/>
      <c r="T61"/>
      <c r="U61"/>
      <c r="V61"/>
      <c r="W61"/>
      <c r="X61"/>
      <c r="Y61"/>
      <c r="Z61"/>
    </row>
    <row r="62" spans="2:26">
      <c r="M62"/>
      <c r="N62"/>
      <c r="O62"/>
      <c r="P62"/>
      <c r="Q62"/>
      <c r="R62"/>
      <c r="S62"/>
      <c r="T62"/>
      <c r="U62"/>
      <c r="V62"/>
      <c r="W62"/>
      <c r="X62"/>
      <c r="Y62"/>
      <c r="Z62"/>
    </row>
    <row r="63" spans="2:26">
      <c r="M63"/>
      <c r="N63"/>
      <c r="O63"/>
      <c r="P63"/>
      <c r="Q63"/>
      <c r="R63"/>
      <c r="S63"/>
      <c r="T63"/>
      <c r="U63"/>
      <c r="V63"/>
      <c r="W63"/>
      <c r="X63"/>
      <c r="Y63"/>
      <c r="Z63"/>
    </row>
    <row r="64" spans="2:26">
      <c r="M64"/>
      <c r="N64"/>
      <c r="O64"/>
      <c r="P64"/>
      <c r="Q64"/>
      <c r="R64"/>
      <c r="S64"/>
      <c r="T64"/>
      <c r="U64"/>
      <c r="V64"/>
      <c r="W64"/>
      <c r="X64"/>
      <c r="Y64"/>
      <c r="Z64"/>
    </row>
    <row r="65" spans="13:26">
      <c r="M65"/>
      <c r="N65"/>
      <c r="O65"/>
      <c r="P65"/>
      <c r="Q65"/>
      <c r="R65"/>
      <c r="S65"/>
      <c r="T65"/>
      <c r="U65"/>
      <c r="V65"/>
      <c r="W65"/>
      <c r="X65"/>
      <c r="Y65"/>
      <c r="Z65"/>
    </row>
    <row r="66" spans="13:26">
      <c r="M66"/>
      <c r="N66"/>
      <c r="O66"/>
      <c r="P66"/>
      <c r="Q66"/>
      <c r="R66"/>
      <c r="S66"/>
      <c r="T66"/>
      <c r="U66"/>
      <c r="V66"/>
      <c r="W66"/>
      <c r="X66"/>
      <c r="Y66"/>
      <c r="Z66"/>
    </row>
    <row r="67" spans="13:26">
      <c r="M67"/>
      <c r="N67"/>
      <c r="O67"/>
      <c r="P67"/>
      <c r="Q67"/>
      <c r="R67"/>
      <c r="S67"/>
      <c r="T67"/>
      <c r="U67"/>
      <c r="V67"/>
      <c r="W67"/>
      <c r="X67"/>
      <c r="Y67"/>
      <c r="Z67"/>
    </row>
    <row r="68" spans="13:26">
      <c r="M68"/>
      <c r="N68"/>
      <c r="O68"/>
      <c r="P68"/>
      <c r="Q68"/>
      <c r="R68"/>
      <c r="S68"/>
      <c r="T68"/>
      <c r="U68"/>
      <c r="V68"/>
      <c r="W68"/>
      <c r="X68"/>
      <c r="Y68"/>
      <c r="Z68"/>
    </row>
    <row r="69" spans="13:26">
      <c r="M69"/>
      <c r="N69"/>
      <c r="O69"/>
      <c r="P69"/>
      <c r="Q69"/>
      <c r="R69"/>
      <c r="S69"/>
      <c r="T69"/>
      <c r="U69"/>
      <c r="V69"/>
      <c r="W69"/>
      <c r="X69"/>
      <c r="Y69"/>
      <c r="Z69"/>
    </row>
    <row r="70" spans="13:26">
      <c r="M70"/>
      <c r="N70"/>
      <c r="O70"/>
      <c r="P70"/>
      <c r="Q70"/>
      <c r="R70"/>
      <c r="S70"/>
      <c r="T70"/>
      <c r="U70"/>
      <c r="V70"/>
      <c r="W70"/>
      <c r="X70"/>
      <c r="Y70"/>
      <c r="Z70"/>
    </row>
    <row r="71" spans="13:26">
      <c r="M71"/>
      <c r="N71"/>
      <c r="O71"/>
      <c r="P71"/>
      <c r="Q71"/>
      <c r="R71"/>
      <c r="S71"/>
      <c r="T71"/>
      <c r="U71"/>
      <c r="V71"/>
      <c r="W71"/>
      <c r="X71"/>
      <c r="Y71"/>
      <c r="Z71"/>
    </row>
    <row r="72" spans="13:26">
      <c r="M72"/>
      <c r="N72"/>
      <c r="O72"/>
      <c r="P72"/>
      <c r="Q72"/>
      <c r="R72"/>
      <c r="S72"/>
      <c r="T72"/>
      <c r="U72"/>
      <c r="V72"/>
      <c r="W72"/>
      <c r="X72"/>
      <c r="Y72"/>
      <c r="Z72"/>
    </row>
    <row r="73" spans="13:26">
      <c r="M73"/>
      <c r="N73"/>
      <c r="O73"/>
      <c r="P73"/>
      <c r="Q73"/>
      <c r="R73"/>
      <c r="S73"/>
      <c r="T73"/>
      <c r="U73"/>
      <c r="V73"/>
      <c r="W73"/>
      <c r="X73"/>
      <c r="Y73"/>
      <c r="Z73"/>
    </row>
    <row r="74" spans="13:26">
      <c r="M74"/>
      <c r="N74"/>
      <c r="O74"/>
      <c r="P74"/>
      <c r="Q74"/>
      <c r="R74"/>
      <c r="S74"/>
      <c r="T74"/>
      <c r="U74"/>
      <c r="V74"/>
      <c r="W74"/>
      <c r="X74"/>
      <c r="Y74"/>
      <c r="Z74"/>
    </row>
    <row r="75" spans="13:26">
      <c r="M75"/>
      <c r="N75"/>
      <c r="O75"/>
      <c r="P75"/>
      <c r="Q75"/>
      <c r="R75"/>
      <c r="S75"/>
      <c r="T75"/>
      <c r="U75"/>
      <c r="V75"/>
      <c r="W75"/>
      <c r="X75"/>
      <c r="Y75"/>
      <c r="Z75"/>
    </row>
    <row r="76" spans="13:26">
      <c r="M76"/>
      <c r="N76"/>
      <c r="O76"/>
      <c r="P76"/>
      <c r="Q76"/>
      <c r="R76"/>
      <c r="S76"/>
      <c r="T76"/>
      <c r="U76"/>
      <c r="V76"/>
      <c r="W76"/>
      <c r="X76"/>
      <c r="Y76"/>
      <c r="Z76"/>
    </row>
    <row r="77" spans="13:26">
      <c r="M77"/>
      <c r="N77"/>
      <c r="O77"/>
      <c r="P77"/>
      <c r="Q77"/>
      <c r="R77"/>
      <c r="S77"/>
      <c r="T77"/>
      <c r="U77"/>
      <c r="V77"/>
      <c r="W77"/>
      <c r="X77"/>
      <c r="Y77"/>
      <c r="Z77"/>
    </row>
    <row r="78" spans="13:26">
      <c r="M78"/>
      <c r="N78"/>
      <c r="O78"/>
      <c r="P78"/>
      <c r="Q78"/>
      <c r="R78"/>
      <c r="S78"/>
      <c r="T78"/>
      <c r="U78"/>
      <c r="V78"/>
      <c r="W78"/>
      <c r="X78"/>
      <c r="Y78"/>
      <c r="Z78"/>
    </row>
    <row r="79" spans="13:26">
      <c r="M79"/>
      <c r="N79"/>
      <c r="O79"/>
      <c r="P79"/>
      <c r="Q79"/>
      <c r="R79"/>
      <c r="S79"/>
      <c r="T79"/>
      <c r="U79"/>
      <c r="V79"/>
      <c r="W79"/>
      <c r="X79"/>
      <c r="Y79"/>
      <c r="Z79"/>
    </row>
    <row r="80" spans="13:26">
      <c r="M80"/>
      <c r="N80"/>
      <c r="O80"/>
      <c r="P80"/>
      <c r="Q80"/>
      <c r="R80"/>
      <c r="S80"/>
      <c r="T80"/>
      <c r="U80"/>
      <c r="V80"/>
      <c r="W80"/>
      <c r="X80"/>
      <c r="Y80"/>
      <c r="Z80"/>
    </row>
    <row r="81" spans="13:26">
      <c r="M81"/>
      <c r="N81"/>
      <c r="O81"/>
      <c r="P81"/>
      <c r="Q81"/>
      <c r="R81"/>
      <c r="S81"/>
      <c r="T81"/>
      <c r="U81"/>
      <c r="V81"/>
      <c r="W81"/>
      <c r="X81"/>
      <c r="Y81"/>
      <c r="Z81"/>
    </row>
    <row r="82" spans="13:26">
      <c r="M82"/>
      <c r="N82"/>
      <c r="O82"/>
      <c r="P82"/>
      <c r="Q82"/>
      <c r="R82"/>
      <c r="S82"/>
      <c r="T82"/>
      <c r="U82"/>
      <c r="V82"/>
      <c r="W82"/>
      <c r="X82"/>
      <c r="Y82"/>
      <c r="Z82"/>
    </row>
    <row r="83" spans="13:26">
      <c r="M83"/>
      <c r="N83"/>
      <c r="O83"/>
      <c r="P83"/>
      <c r="Q83"/>
      <c r="R83"/>
      <c r="S83"/>
      <c r="T83"/>
      <c r="U83"/>
      <c r="V83"/>
      <c r="W83"/>
      <c r="X83"/>
      <c r="Y83"/>
      <c r="Z83"/>
    </row>
    <row r="84" spans="13:26">
      <c r="M84"/>
      <c r="N84"/>
      <c r="O84"/>
      <c r="P84"/>
      <c r="Q84"/>
      <c r="R84"/>
      <c r="S84"/>
      <c r="T84"/>
      <c r="U84"/>
      <c r="V84"/>
      <c r="W84"/>
      <c r="X84"/>
      <c r="Y84"/>
      <c r="Z84"/>
    </row>
    <row r="85" spans="13:26">
      <c r="M85"/>
      <c r="N85"/>
      <c r="O85"/>
      <c r="P85"/>
      <c r="Q85"/>
      <c r="R85"/>
      <c r="S85"/>
      <c r="T85"/>
      <c r="U85"/>
      <c r="V85"/>
      <c r="W85"/>
      <c r="X85"/>
      <c r="Y85"/>
      <c r="Z85"/>
    </row>
    <row r="86" spans="13:26">
      <c r="M86"/>
      <c r="N86"/>
      <c r="O86"/>
      <c r="P86"/>
      <c r="Q86"/>
      <c r="R86"/>
      <c r="S86"/>
      <c r="T86"/>
      <c r="U86"/>
      <c r="V86"/>
      <c r="W86"/>
      <c r="X86"/>
      <c r="Y86"/>
      <c r="Z86"/>
    </row>
    <row r="87" spans="13:26">
      <c r="M87"/>
      <c r="N87"/>
      <c r="O87"/>
      <c r="P87"/>
      <c r="Q87"/>
      <c r="R87"/>
      <c r="S87"/>
      <c r="T87"/>
      <c r="U87"/>
      <c r="V87"/>
      <c r="W87"/>
      <c r="X87"/>
      <c r="Y87"/>
      <c r="Z87"/>
    </row>
    <row r="88" spans="13:26">
      <c r="M88"/>
      <c r="N88"/>
      <c r="O88"/>
      <c r="P88"/>
      <c r="Q88"/>
      <c r="R88"/>
      <c r="S88"/>
      <c r="T88"/>
      <c r="U88"/>
      <c r="V88"/>
      <c r="W88"/>
      <c r="X88"/>
      <c r="Y88"/>
      <c r="Z88"/>
    </row>
    <row r="89" spans="13:26">
      <c r="M89"/>
      <c r="N89"/>
      <c r="O89"/>
      <c r="P89"/>
      <c r="Q89"/>
      <c r="R89"/>
      <c r="S89"/>
      <c r="T89"/>
      <c r="U89"/>
      <c r="V89"/>
      <c r="W89"/>
      <c r="X89"/>
      <c r="Y89"/>
      <c r="Z89"/>
    </row>
    <row r="90" spans="13:26">
      <c r="M90"/>
      <c r="N90"/>
      <c r="O90"/>
      <c r="P90"/>
      <c r="Q90"/>
      <c r="R90"/>
      <c r="S90"/>
      <c r="T90"/>
      <c r="U90"/>
      <c r="V90"/>
      <c r="W90"/>
      <c r="X90"/>
      <c r="Y90"/>
      <c r="Z90"/>
    </row>
    <row r="91" spans="13:26">
      <c r="M91"/>
      <c r="N91"/>
      <c r="O91"/>
      <c r="P91"/>
      <c r="Q91"/>
      <c r="R91"/>
      <c r="S91"/>
      <c r="T91"/>
      <c r="U91"/>
      <c r="V91"/>
      <c r="W91"/>
      <c r="X91"/>
      <c r="Y91"/>
      <c r="Z91"/>
    </row>
    <row r="92" spans="13:26">
      <c r="M92"/>
      <c r="N92"/>
      <c r="O92"/>
      <c r="P92"/>
      <c r="Q92"/>
      <c r="R92"/>
      <c r="S92"/>
      <c r="T92"/>
      <c r="U92"/>
      <c r="V92"/>
      <c r="W92"/>
      <c r="X92"/>
      <c r="Y92"/>
      <c r="Z92"/>
    </row>
    <row r="93" spans="13:26">
      <c r="M93"/>
      <c r="N93"/>
      <c r="O93"/>
      <c r="P93"/>
      <c r="Q93"/>
      <c r="R93"/>
      <c r="S93"/>
      <c r="T93"/>
      <c r="U93"/>
      <c r="V93"/>
      <c r="W93"/>
      <c r="X93"/>
      <c r="Y93"/>
      <c r="Z93"/>
    </row>
    <row r="94" spans="13:26">
      <c r="M94"/>
      <c r="N94"/>
      <c r="O94"/>
      <c r="P94"/>
      <c r="Q94"/>
      <c r="R94"/>
      <c r="S94"/>
      <c r="T94"/>
      <c r="U94"/>
      <c r="V94"/>
      <c r="W94"/>
      <c r="X94"/>
      <c r="Y94"/>
      <c r="Z94"/>
    </row>
    <row r="95" spans="13:26">
      <c r="M95"/>
      <c r="N95"/>
      <c r="O95"/>
      <c r="P95"/>
      <c r="Q95"/>
      <c r="R95"/>
      <c r="S95"/>
      <c r="T95"/>
      <c r="U95"/>
      <c r="V95"/>
      <c r="W95"/>
      <c r="X95"/>
      <c r="Y95"/>
      <c r="Z95"/>
    </row>
    <row r="96" spans="13:26">
      <c r="M96"/>
      <c r="N96"/>
      <c r="O96"/>
      <c r="P96"/>
      <c r="Q96"/>
      <c r="R96"/>
      <c r="S96"/>
      <c r="T96"/>
      <c r="U96"/>
      <c r="V96"/>
      <c r="W96"/>
      <c r="X96"/>
      <c r="Y96"/>
      <c r="Z96"/>
    </row>
    <row r="97" spans="13:26">
      <c r="M97"/>
      <c r="N97"/>
      <c r="O97"/>
      <c r="P97"/>
      <c r="Q97"/>
      <c r="R97"/>
      <c r="S97"/>
      <c r="T97"/>
      <c r="U97"/>
      <c r="V97"/>
      <c r="W97"/>
      <c r="X97"/>
      <c r="Y97"/>
      <c r="Z97"/>
    </row>
    <row r="98" spans="13:26">
      <c r="M98"/>
      <c r="N98"/>
      <c r="O98"/>
      <c r="P98"/>
      <c r="Q98"/>
      <c r="R98"/>
      <c r="S98"/>
      <c r="T98"/>
      <c r="U98"/>
      <c r="V98"/>
      <c r="W98"/>
      <c r="X98"/>
      <c r="Y98"/>
      <c r="Z98"/>
    </row>
    <row r="99" spans="13:26">
      <c r="M99"/>
      <c r="N99"/>
      <c r="O99"/>
      <c r="P99"/>
      <c r="Q99"/>
      <c r="R99"/>
      <c r="S99"/>
      <c r="T99"/>
      <c r="U99"/>
      <c r="V99"/>
      <c r="W99"/>
      <c r="X99"/>
      <c r="Y99"/>
      <c r="Z99"/>
    </row>
    <row r="100" spans="13:26">
      <c r="M100"/>
      <c r="N100"/>
      <c r="O100"/>
      <c r="P100"/>
      <c r="Q100"/>
      <c r="R100"/>
      <c r="S100"/>
      <c r="T100"/>
      <c r="U100"/>
      <c r="V100"/>
      <c r="W100"/>
      <c r="X100"/>
      <c r="Y100"/>
      <c r="Z100"/>
    </row>
    <row r="101" spans="13:26">
      <c r="M101"/>
      <c r="N101"/>
      <c r="O101"/>
      <c r="P101"/>
      <c r="Q101"/>
      <c r="R101"/>
      <c r="S101"/>
      <c r="T101"/>
      <c r="U101"/>
      <c r="V101"/>
      <c r="W101"/>
      <c r="X101"/>
      <c r="Y101"/>
      <c r="Z101"/>
    </row>
    <row r="102" spans="13:26">
      <c r="M102"/>
      <c r="N102"/>
      <c r="O102"/>
      <c r="P102"/>
      <c r="Q102"/>
      <c r="R102"/>
      <c r="S102"/>
      <c r="T102"/>
      <c r="U102"/>
      <c r="V102"/>
      <c r="W102"/>
      <c r="X102"/>
      <c r="Y102"/>
      <c r="Z102"/>
    </row>
    <row r="103" spans="13:26">
      <c r="M103"/>
      <c r="N103"/>
      <c r="O103"/>
      <c r="P103"/>
      <c r="Q103"/>
      <c r="R103"/>
      <c r="S103"/>
      <c r="T103"/>
      <c r="U103"/>
      <c r="V103"/>
      <c r="W103"/>
      <c r="X103"/>
      <c r="Y103"/>
      <c r="Z103"/>
    </row>
    <row r="104" spans="13:26">
      <c r="M104"/>
      <c r="N104"/>
      <c r="O104"/>
      <c r="P104"/>
      <c r="Q104"/>
      <c r="R104"/>
      <c r="S104"/>
      <c r="T104"/>
      <c r="U104"/>
      <c r="V104"/>
      <c r="W104"/>
      <c r="X104"/>
      <c r="Y104"/>
      <c r="Z104"/>
    </row>
    <row r="105" spans="13:26">
      <c r="M105"/>
      <c r="N105"/>
      <c r="O105"/>
      <c r="P105"/>
      <c r="Q105"/>
      <c r="R105"/>
      <c r="S105"/>
      <c r="T105"/>
      <c r="U105"/>
      <c r="V105"/>
      <c r="W105"/>
      <c r="X105"/>
      <c r="Y105"/>
      <c r="Z105"/>
    </row>
    <row r="106" spans="13:26">
      <c r="M106"/>
      <c r="N106"/>
      <c r="O106"/>
      <c r="P106"/>
      <c r="Q106"/>
      <c r="R106"/>
      <c r="S106"/>
      <c r="T106"/>
      <c r="U106"/>
      <c r="V106"/>
      <c r="W106"/>
      <c r="X106"/>
      <c r="Y106"/>
      <c r="Z106"/>
    </row>
    <row r="107" spans="13:26">
      <c r="M107"/>
      <c r="N107"/>
      <c r="O107"/>
      <c r="P107"/>
      <c r="Q107"/>
      <c r="R107"/>
      <c r="S107"/>
      <c r="T107"/>
      <c r="U107"/>
      <c r="V107"/>
      <c r="W107"/>
      <c r="X107"/>
      <c r="Y107"/>
      <c r="Z107"/>
    </row>
    <row r="108" spans="13:26">
      <c r="M108"/>
      <c r="N108"/>
      <c r="O108"/>
      <c r="P108"/>
      <c r="Q108"/>
      <c r="R108"/>
      <c r="S108"/>
      <c r="T108"/>
      <c r="U108"/>
      <c r="V108"/>
      <c r="W108"/>
      <c r="X108"/>
      <c r="Y108"/>
      <c r="Z108"/>
    </row>
    <row r="109" spans="13:26">
      <c r="M109"/>
      <c r="N109"/>
      <c r="O109"/>
      <c r="P109"/>
      <c r="Q109"/>
      <c r="R109"/>
      <c r="S109"/>
      <c r="T109"/>
      <c r="U109"/>
      <c r="V109"/>
      <c r="W109"/>
      <c r="X109"/>
      <c r="Y109"/>
      <c r="Z109"/>
    </row>
    <row r="110" spans="13:26">
      <c r="M110"/>
      <c r="N110"/>
      <c r="O110"/>
      <c r="P110"/>
      <c r="Q110"/>
      <c r="R110"/>
      <c r="S110"/>
      <c r="T110"/>
      <c r="U110"/>
      <c r="V110"/>
      <c r="W110"/>
      <c r="X110"/>
      <c r="Y110"/>
      <c r="Z110"/>
    </row>
    <row r="111" spans="13:26">
      <c r="M111"/>
      <c r="N111"/>
      <c r="O111"/>
      <c r="P111"/>
      <c r="Q111"/>
      <c r="R111"/>
      <c r="S111"/>
      <c r="T111"/>
      <c r="U111"/>
      <c r="V111"/>
      <c r="W111"/>
      <c r="X111"/>
      <c r="Y111"/>
      <c r="Z111"/>
    </row>
    <row r="112" spans="13:26">
      <c r="M112"/>
      <c r="N112"/>
      <c r="O112"/>
      <c r="P112"/>
      <c r="Q112"/>
      <c r="R112"/>
      <c r="S112"/>
      <c r="T112"/>
      <c r="U112"/>
      <c r="V112"/>
      <c r="W112"/>
      <c r="X112"/>
      <c r="Y112"/>
      <c r="Z112"/>
    </row>
    <row r="113" spans="1:26">
      <c r="M113"/>
      <c r="N113"/>
      <c r="O113"/>
      <c r="P113"/>
      <c r="Q113"/>
      <c r="R113"/>
      <c r="S113"/>
      <c r="T113"/>
      <c r="U113"/>
      <c r="V113"/>
      <c r="W113"/>
      <c r="X113"/>
      <c r="Y113"/>
      <c r="Z113"/>
    </row>
    <row r="114" spans="1:26">
      <c r="M114"/>
      <c r="N114"/>
      <c r="O114"/>
      <c r="P114"/>
      <c r="Q114"/>
      <c r="R114"/>
      <c r="S114"/>
      <c r="T114"/>
      <c r="U114"/>
      <c r="V114"/>
      <c r="W114"/>
      <c r="X114"/>
      <c r="Y114"/>
      <c r="Z114"/>
    </row>
    <row r="115" spans="1:26">
      <c r="M115"/>
      <c r="N115"/>
      <c r="O115"/>
      <c r="P115"/>
      <c r="Q115"/>
      <c r="R115"/>
      <c r="S115"/>
      <c r="T115"/>
      <c r="U115"/>
      <c r="V115"/>
      <c r="W115"/>
      <c r="X115"/>
      <c r="Y115"/>
      <c r="Z115"/>
    </row>
    <row r="122" spans="1:26">
      <c r="A122"/>
      <c r="B122"/>
      <c r="C122"/>
      <c r="D122"/>
      <c r="E122"/>
      <c r="F122"/>
      <c r="G122"/>
      <c r="H122"/>
      <c r="I122"/>
      <c r="J122"/>
      <c r="K122"/>
      <c r="L122"/>
    </row>
    <row r="123" spans="1:26">
      <c r="A123"/>
      <c r="B123"/>
      <c r="C123"/>
      <c r="D123"/>
      <c r="E123"/>
      <c r="F123"/>
      <c r="G123"/>
      <c r="H123"/>
      <c r="I123"/>
      <c r="J123"/>
      <c r="K123"/>
      <c r="L123"/>
    </row>
    <row r="124" spans="1:26">
      <c r="A124"/>
      <c r="B124"/>
      <c r="C124"/>
      <c r="D124"/>
      <c r="E124"/>
      <c r="F124"/>
      <c r="G124"/>
      <c r="H124"/>
      <c r="I124"/>
      <c r="J124"/>
      <c r="K124"/>
      <c r="L124"/>
    </row>
    <row r="125" spans="1:26">
      <c r="A125"/>
      <c r="B125"/>
      <c r="C125"/>
      <c r="D125"/>
      <c r="E125"/>
      <c r="F125"/>
      <c r="G125"/>
      <c r="H125"/>
      <c r="I125"/>
      <c r="J125"/>
      <c r="K125"/>
      <c r="L125"/>
    </row>
    <row r="126" spans="1:26">
      <c r="A126"/>
      <c r="B126"/>
      <c r="C126"/>
      <c r="D126"/>
      <c r="E126"/>
      <c r="F126"/>
      <c r="G126"/>
      <c r="H126"/>
      <c r="I126"/>
      <c r="J126"/>
      <c r="K126"/>
      <c r="L126"/>
    </row>
    <row r="127" spans="1:26">
      <c r="A127"/>
      <c r="B127"/>
      <c r="C127"/>
      <c r="D127"/>
      <c r="E127"/>
      <c r="F127"/>
      <c r="G127"/>
      <c r="H127"/>
      <c r="I127"/>
      <c r="J127"/>
      <c r="K127"/>
      <c r="L127"/>
    </row>
    <row r="128" spans="1:26">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row>
    <row r="133" spans="1:12">
      <c r="A133"/>
      <c r="B133"/>
      <c r="C133"/>
      <c r="D133"/>
      <c r="E133"/>
      <c r="F133"/>
      <c r="G133"/>
      <c r="H133"/>
      <c r="I133"/>
    </row>
    <row r="134" spans="1:12">
      <c r="A134"/>
      <c r="B134"/>
      <c r="C134"/>
      <c r="D134"/>
      <c r="E134"/>
      <c r="F134"/>
      <c r="G134"/>
      <c r="H134"/>
      <c r="I134"/>
    </row>
    <row r="135" spans="1:12">
      <c r="A135"/>
      <c r="B135"/>
      <c r="C135"/>
      <c r="D135"/>
      <c r="E135"/>
      <c r="F135"/>
      <c r="G135"/>
      <c r="H135"/>
      <c r="I135"/>
    </row>
    <row r="136" spans="1:12">
      <c r="A136"/>
      <c r="B136"/>
      <c r="C136"/>
      <c r="D136"/>
      <c r="E136"/>
      <c r="F136"/>
      <c r="G136"/>
      <c r="H136"/>
      <c r="I136"/>
    </row>
    <row r="137" spans="1:12">
      <c r="A137"/>
      <c r="B137"/>
      <c r="C137"/>
      <c r="D137"/>
      <c r="E137"/>
      <c r="F137"/>
      <c r="G137"/>
      <c r="H137"/>
      <c r="I137"/>
    </row>
    <row r="138" spans="1:12">
      <c r="A138"/>
      <c r="B138"/>
      <c r="C138"/>
      <c r="D138"/>
      <c r="E138"/>
      <c r="F138"/>
      <c r="G138"/>
      <c r="H138"/>
      <c r="I138"/>
    </row>
    <row r="139" spans="1:12">
      <c r="A139"/>
      <c r="B139"/>
      <c r="C139"/>
      <c r="D139"/>
      <c r="E139"/>
      <c r="F139"/>
      <c r="G139"/>
      <c r="H139"/>
      <c r="I139"/>
    </row>
    <row r="140" spans="1:12">
      <c r="A140"/>
      <c r="B140"/>
      <c r="C140"/>
      <c r="D140"/>
      <c r="E140"/>
      <c r="F140"/>
      <c r="G140"/>
      <c r="H140"/>
      <c r="I140"/>
    </row>
    <row r="141" spans="1:12">
      <c r="A141"/>
      <c r="B141"/>
      <c r="C141"/>
      <c r="D141"/>
      <c r="E141"/>
      <c r="F141"/>
      <c r="G141"/>
      <c r="H141"/>
      <c r="I141"/>
    </row>
    <row r="142" spans="1:12">
      <c r="A142"/>
      <c r="B142"/>
      <c r="C142"/>
      <c r="D142"/>
      <c r="E142"/>
      <c r="F142"/>
      <c r="G142"/>
      <c r="H142"/>
      <c r="I142"/>
    </row>
    <row r="143" spans="1:12">
      <c r="A143"/>
      <c r="B143"/>
      <c r="C143"/>
      <c r="D143"/>
      <c r="E143"/>
      <c r="F143"/>
      <c r="G143"/>
      <c r="H143"/>
      <c r="I143"/>
    </row>
    <row r="144" spans="1:12">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sheetData>
  <mergeCells count="9">
    <mergeCell ref="B33:M35"/>
    <mergeCell ref="A3:L3"/>
    <mergeCell ref="A5:A6"/>
    <mergeCell ref="B5:D5"/>
    <mergeCell ref="F5:G5"/>
    <mergeCell ref="A15:M15"/>
    <mergeCell ref="A20:A21"/>
    <mergeCell ref="B20:C20"/>
    <mergeCell ref="D20:F20"/>
  </mergeCells>
  <pageMargins left="0.7" right="0.7" top="0.75" bottom="0.75" header="0.3" footer="0.3"/>
  <pageSetup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A1F69-FC74-4722-B74E-8E86B36EC540}">
  <dimension ref="A1:M93"/>
  <sheetViews>
    <sheetView zoomScaleNormal="100" workbookViewId="0"/>
  </sheetViews>
  <sheetFormatPr defaultColWidth="8.6640625" defaultRowHeight="14.4"/>
  <cols>
    <col min="1" max="1" width="22.88671875" customWidth="1"/>
    <col min="2" max="7" width="15.6640625" customWidth="1"/>
    <col min="8" max="8" width="11.33203125" customWidth="1"/>
    <col min="9" max="13" width="8.88671875" customWidth="1"/>
    <col min="15" max="15" width="11.44140625" bestFit="1" customWidth="1"/>
    <col min="16" max="16" width="14.109375" customWidth="1"/>
  </cols>
  <sheetData>
    <row r="1" spans="1:13" ht="18">
      <c r="A1" s="23" t="s">
        <v>494</v>
      </c>
      <c r="B1" s="497"/>
      <c r="C1" s="342" t="s">
        <v>38</v>
      </c>
      <c r="D1" s="22"/>
      <c r="E1" s="22"/>
      <c r="F1" s="22"/>
      <c r="G1" s="22"/>
      <c r="H1" s="22"/>
      <c r="I1" s="22"/>
      <c r="J1" s="22"/>
      <c r="K1" s="22"/>
      <c r="L1" s="22"/>
      <c r="M1" s="22"/>
    </row>
    <row r="2" spans="1:13" ht="15.6">
      <c r="A2" s="22"/>
      <c r="B2" s="22"/>
      <c r="C2" s="22"/>
      <c r="D2" s="22"/>
      <c r="E2" s="22"/>
      <c r="F2" s="22"/>
      <c r="G2" s="22"/>
      <c r="H2" s="22"/>
      <c r="I2" s="22"/>
      <c r="J2" s="22"/>
      <c r="K2" s="22"/>
      <c r="L2" s="22"/>
      <c r="M2" s="22"/>
    </row>
    <row r="3" spans="1:13" ht="15.6">
      <c r="A3" s="22" t="s">
        <v>573</v>
      </c>
      <c r="B3" s="22"/>
      <c r="C3" s="22"/>
      <c r="D3" s="22"/>
      <c r="E3" s="22"/>
      <c r="F3" s="22"/>
      <c r="G3" s="497"/>
      <c r="H3" s="514"/>
      <c r="I3" s="513"/>
      <c r="J3" s="497"/>
      <c r="K3" s="497"/>
      <c r="L3" s="497"/>
      <c r="M3" s="497"/>
    </row>
    <row r="4" spans="1:13" ht="15.6">
      <c r="A4" s="376"/>
      <c r="B4" s="376"/>
      <c r="C4" s="22"/>
      <c r="D4" s="22"/>
      <c r="E4" s="22"/>
      <c r="F4" s="22"/>
      <c r="G4" s="22"/>
      <c r="H4" s="22"/>
      <c r="I4" s="22"/>
      <c r="J4" s="22"/>
      <c r="K4" s="22"/>
      <c r="L4" s="22"/>
      <c r="M4" s="22"/>
    </row>
    <row r="5" spans="1:13" ht="15.6">
      <c r="A5" s="1752" t="s">
        <v>31</v>
      </c>
      <c r="B5" s="1746" t="s">
        <v>572</v>
      </c>
      <c r="C5" s="1747"/>
      <c r="D5" s="1747"/>
      <c r="E5" s="1747"/>
      <c r="F5" s="1747"/>
      <c r="G5" s="1748"/>
      <c r="H5" s="2"/>
      <c r="I5" s="2"/>
      <c r="J5" s="2"/>
      <c r="K5" s="2"/>
      <c r="L5" s="2"/>
      <c r="M5" s="2"/>
    </row>
    <row r="6" spans="1:13" ht="15.6">
      <c r="A6" s="1753"/>
      <c r="B6" s="528">
        <v>12</v>
      </c>
      <c r="C6" s="528">
        <v>24</v>
      </c>
      <c r="D6" s="528">
        <v>36</v>
      </c>
      <c r="E6" s="528">
        <v>48</v>
      </c>
      <c r="F6" s="528">
        <v>60</v>
      </c>
      <c r="G6" s="528">
        <v>72</v>
      </c>
      <c r="H6" s="2"/>
      <c r="I6" s="2"/>
      <c r="J6" s="2"/>
      <c r="K6" s="2"/>
      <c r="L6" s="2"/>
      <c r="M6" s="2"/>
    </row>
    <row r="7" spans="1:13" ht="15.6">
      <c r="A7" s="530">
        <v>2018</v>
      </c>
      <c r="B7" s="529">
        <v>3742</v>
      </c>
      <c r="C7" s="529">
        <v>4715</v>
      </c>
      <c r="D7" s="529">
        <v>5116</v>
      </c>
      <c r="E7" s="529">
        <v>5372</v>
      </c>
      <c r="F7" s="529">
        <v>5533</v>
      </c>
      <c r="G7" s="529">
        <v>5588</v>
      </c>
      <c r="H7" s="2"/>
      <c r="I7" s="2"/>
      <c r="J7" s="2"/>
      <c r="K7" s="2"/>
      <c r="L7" s="2"/>
      <c r="M7" s="2"/>
    </row>
    <row r="8" spans="1:13" ht="15.6">
      <c r="A8" s="530">
        <v>2019</v>
      </c>
      <c r="B8" s="529">
        <v>2986</v>
      </c>
      <c r="C8" s="529">
        <v>3703</v>
      </c>
      <c r="D8" s="529">
        <v>4036</v>
      </c>
      <c r="E8" s="529">
        <v>4258</v>
      </c>
      <c r="F8" s="529">
        <v>4343</v>
      </c>
      <c r="G8" s="529"/>
      <c r="H8" s="156"/>
      <c r="I8" s="156"/>
      <c r="J8" s="156"/>
      <c r="K8" s="156"/>
      <c r="L8" s="156"/>
      <c r="M8" s="2"/>
    </row>
    <row r="9" spans="1:13" ht="15.6">
      <c r="A9" s="530">
        <v>2020</v>
      </c>
      <c r="B9" s="529">
        <v>3846</v>
      </c>
      <c r="C9" s="529">
        <v>4884</v>
      </c>
      <c r="D9" s="529">
        <v>5289</v>
      </c>
      <c r="E9" s="529">
        <v>5606</v>
      </c>
      <c r="F9" s="529"/>
      <c r="G9" s="529"/>
      <c r="H9" s="2"/>
      <c r="I9" s="2"/>
      <c r="J9" s="2"/>
      <c r="K9" s="2"/>
      <c r="L9" s="2"/>
      <c r="M9" s="2"/>
    </row>
    <row r="10" spans="1:13" ht="15.6">
      <c r="A10" s="530">
        <v>2021</v>
      </c>
      <c r="B10" s="529">
        <v>3571</v>
      </c>
      <c r="C10" s="529">
        <v>4492</v>
      </c>
      <c r="D10" s="529">
        <v>4851</v>
      </c>
      <c r="E10" s="529"/>
      <c r="F10" s="529"/>
      <c r="G10" s="529"/>
      <c r="H10" s="2"/>
      <c r="I10" s="2"/>
      <c r="J10" s="2"/>
      <c r="K10" s="2"/>
      <c r="L10" s="2"/>
      <c r="M10" s="2"/>
    </row>
    <row r="11" spans="1:13" ht="15.6">
      <c r="A11" s="530">
        <v>2022</v>
      </c>
      <c r="B11" s="529">
        <v>3214</v>
      </c>
      <c r="C11" s="529">
        <v>4050</v>
      </c>
      <c r="D11" s="529"/>
      <c r="E11" s="529"/>
      <c r="F11" s="529"/>
      <c r="G11" s="529"/>
      <c r="H11" s="2"/>
      <c r="I11" s="2"/>
      <c r="J11" s="2"/>
      <c r="K11" s="2"/>
      <c r="L11" s="2"/>
      <c r="M11" s="2"/>
    </row>
    <row r="12" spans="1:13" ht="15.6">
      <c r="A12" s="530">
        <v>2023</v>
      </c>
      <c r="B12" s="529">
        <v>3055</v>
      </c>
      <c r="C12" s="529"/>
      <c r="D12" s="529"/>
      <c r="E12" s="529"/>
      <c r="F12" s="529"/>
      <c r="G12" s="529"/>
      <c r="H12" s="2"/>
      <c r="I12" s="2"/>
      <c r="J12" s="2"/>
      <c r="K12" s="2"/>
      <c r="L12" s="2"/>
      <c r="M12" s="2"/>
    </row>
    <row r="13" spans="1:13" ht="15.6">
      <c r="A13" s="22"/>
      <c r="B13" s="22"/>
      <c r="C13" s="22"/>
      <c r="D13" s="22"/>
      <c r="E13" s="22"/>
      <c r="F13" s="22"/>
      <c r="G13" s="22"/>
      <c r="H13" s="2"/>
      <c r="I13" s="2"/>
      <c r="J13" s="2"/>
      <c r="K13" s="2"/>
      <c r="L13" s="2"/>
      <c r="M13" s="2"/>
    </row>
    <row r="14" spans="1:13" ht="15.6" hidden="1" customHeight="1">
      <c r="A14" s="1751" t="s">
        <v>31</v>
      </c>
      <c r="B14" s="528" t="s">
        <v>571</v>
      </c>
      <c r="C14" s="528"/>
      <c r="D14" s="528"/>
      <c r="E14" s="528"/>
      <c r="F14" s="528"/>
      <c r="G14" s="528"/>
      <c r="H14" s="2"/>
      <c r="I14" s="2"/>
      <c r="J14" s="2"/>
      <c r="K14" s="2"/>
      <c r="L14" s="2"/>
      <c r="M14" s="2"/>
    </row>
    <row r="15" spans="1:13" ht="15.6" hidden="1" customHeight="1">
      <c r="A15" s="1751"/>
      <c r="B15" s="528">
        <v>12</v>
      </c>
      <c r="C15" s="528">
        <v>24</v>
      </c>
      <c r="D15" s="528">
        <v>36</v>
      </c>
      <c r="E15" s="528">
        <v>48</v>
      </c>
      <c r="F15" s="528">
        <v>60</v>
      </c>
      <c r="G15" s="528">
        <v>72</v>
      </c>
      <c r="H15" s="2"/>
      <c r="I15" s="2"/>
      <c r="J15" s="2"/>
      <c r="K15" s="2"/>
      <c r="L15" s="2"/>
      <c r="M15" s="2"/>
    </row>
    <row r="16" spans="1:13" ht="15.6" hidden="1" customHeight="1">
      <c r="A16" s="530">
        <v>2018</v>
      </c>
      <c r="B16" s="529" t="e">
        <f>B7+#REF!</f>
        <v>#REF!</v>
      </c>
      <c r="C16" s="529" t="e">
        <f>ROUND(B16*#REF!,0)</f>
        <v>#REF!</v>
      </c>
      <c r="D16" s="529" t="e">
        <f>ROUND(C16*#REF!,0)</f>
        <v>#REF!</v>
      </c>
      <c r="E16" s="529" t="e">
        <f>ROUND(D16*#REF!,0)</f>
        <v>#REF!</v>
      </c>
      <c r="F16" s="529" t="e">
        <f>ROUND(E16*#REF!,0)</f>
        <v>#REF!</v>
      </c>
      <c r="G16" s="529" t="e">
        <f>ROUND(F16*#REF!,0)</f>
        <v>#REF!</v>
      </c>
      <c r="H16" s="2"/>
      <c r="I16" s="2"/>
      <c r="J16" s="2"/>
      <c r="K16" s="2"/>
      <c r="L16" s="2"/>
      <c r="M16" s="2"/>
    </row>
    <row r="17" spans="1:13" ht="15.6" hidden="1" customHeight="1">
      <c r="A17" s="530">
        <v>2019</v>
      </c>
      <c r="B17" s="529" t="e">
        <f>B8+#REF!</f>
        <v>#REF!</v>
      </c>
      <c r="C17" s="529" t="e">
        <f>ROUND(B17*#REF!,0)</f>
        <v>#REF!</v>
      </c>
      <c r="D17" s="529" t="e">
        <f>ROUND(C17*#REF!,0)</f>
        <v>#REF!</v>
      </c>
      <c r="E17" s="529" t="e">
        <f>ROUND(D17*#REF!,0)</f>
        <v>#REF!</v>
      </c>
      <c r="F17" s="529" t="e">
        <f>ROUND(E17*#REF!,0)</f>
        <v>#REF!</v>
      </c>
      <c r="G17" s="529"/>
      <c r="H17" s="2"/>
      <c r="I17" s="2"/>
      <c r="J17" s="2"/>
      <c r="K17" s="2"/>
      <c r="L17" s="2"/>
      <c r="M17" s="2"/>
    </row>
    <row r="18" spans="1:13" ht="15.6" hidden="1" customHeight="1">
      <c r="A18" s="530">
        <v>2020</v>
      </c>
      <c r="B18" s="529" t="e">
        <f>B9+#REF!</f>
        <v>#REF!</v>
      </c>
      <c r="C18" s="529" t="e">
        <f>ROUND(B18*#REF!,0)</f>
        <v>#REF!</v>
      </c>
      <c r="D18" s="529" t="e">
        <f>ROUND(C18*#REF!,0)</f>
        <v>#REF!</v>
      </c>
      <c r="E18" s="529" t="e">
        <f>ROUND(D18*#REF!,0)</f>
        <v>#REF!</v>
      </c>
      <c r="F18" s="529"/>
      <c r="G18" s="529"/>
      <c r="H18" s="2"/>
      <c r="I18" s="2"/>
      <c r="J18" s="2"/>
      <c r="K18" s="2"/>
      <c r="L18" s="2"/>
      <c r="M18" s="2"/>
    </row>
    <row r="19" spans="1:13" ht="15.6" hidden="1" customHeight="1">
      <c r="A19" s="530">
        <v>2021</v>
      </c>
      <c r="B19" s="529" t="e">
        <f>B10+#REF!</f>
        <v>#REF!</v>
      </c>
      <c r="C19" s="529" t="e">
        <f>ROUND(B19*#REF!,0)</f>
        <v>#REF!</v>
      </c>
      <c r="D19" s="529" t="e">
        <f>ROUND(C19*#REF!,0)</f>
        <v>#REF!</v>
      </c>
      <c r="E19" s="529"/>
      <c r="F19" s="529"/>
      <c r="G19" s="529"/>
      <c r="H19" s="2"/>
      <c r="I19" s="2"/>
      <c r="J19" s="2"/>
      <c r="K19" s="2"/>
      <c r="L19" s="2"/>
      <c r="M19" s="2"/>
    </row>
    <row r="20" spans="1:13" ht="15.6" hidden="1" customHeight="1">
      <c r="A20" s="530">
        <v>2022</v>
      </c>
      <c r="B20" s="529" t="e">
        <f>B11+#REF!</f>
        <v>#REF!</v>
      </c>
      <c r="C20" s="529" t="e">
        <f>ROUND(B20*#REF!,0)</f>
        <v>#REF!</v>
      </c>
      <c r="D20" s="529"/>
      <c r="E20" s="529"/>
      <c r="F20" s="529"/>
      <c r="G20" s="529"/>
      <c r="H20" s="2"/>
      <c r="I20" s="2"/>
      <c r="J20" s="2"/>
      <c r="K20" s="2"/>
      <c r="L20" s="2"/>
      <c r="M20" s="2"/>
    </row>
    <row r="21" spans="1:13" ht="15.6" hidden="1" customHeight="1">
      <c r="A21" s="530">
        <v>2023</v>
      </c>
      <c r="B21" s="529" t="e">
        <f>B12+#REF!</f>
        <v>#REF!</v>
      </c>
      <c r="C21" s="529"/>
      <c r="D21" s="529"/>
      <c r="E21" s="529"/>
      <c r="F21" s="529"/>
      <c r="G21" s="529"/>
      <c r="H21" s="2"/>
      <c r="I21" s="2"/>
      <c r="J21" s="2"/>
      <c r="K21" s="2"/>
      <c r="L21" s="2"/>
      <c r="M21" s="2"/>
    </row>
    <row r="22" spans="1:13" ht="15.6" hidden="1" customHeight="1">
      <c r="A22" s="22"/>
      <c r="B22" s="22"/>
      <c r="C22" s="22"/>
      <c r="D22" s="22"/>
      <c r="E22" s="22"/>
      <c r="F22" s="22"/>
      <c r="G22" s="22"/>
      <c r="H22" s="2"/>
      <c r="I22" s="2"/>
      <c r="J22" s="2"/>
      <c r="K22" s="2"/>
      <c r="L22" s="2"/>
      <c r="M22" s="2"/>
    </row>
    <row r="23" spans="1:13" ht="15.6" hidden="1" customHeight="1">
      <c r="A23" s="1751" t="s">
        <v>31</v>
      </c>
      <c r="B23" s="528" t="s">
        <v>570</v>
      </c>
      <c r="C23" s="528"/>
      <c r="D23" s="528"/>
      <c r="E23" s="528"/>
      <c r="F23" s="528"/>
      <c r="G23" s="528"/>
      <c r="H23" s="2"/>
      <c r="I23" s="2"/>
      <c r="J23" s="2"/>
      <c r="K23" s="2"/>
      <c r="L23" s="2"/>
      <c r="M23" s="2"/>
    </row>
    <row r="24" spans="1:13" ht="15.6" hidden="1" customHeight="1">
      <c r="A24" s="1751"/>
      <c r="B24" s="528">
        <v>12</v>
      </c>
      <c r="C24" s="528">
        <v>24</v>
      </c>
      <c r="D24" s="528">
        <v>36</v>
      </c>
      <c r="E24" s="528">
        <v>48</v>
      </c>
      <c r="F24" s="528">
        <v>60</v>
      </c>
      <c r="G24" s="528">
        <v>72</v>
      </c>
      <c r="H24" s="2"/>
      <c r="I24" s="2"/>
      <c r="J24" s="2"/>
      <c r="K24" s="2"/>
      <c r="L24" s="2"/>
      <c r="M24" s="2"/>
    </row>
    <row r="25" spans="1:13" ht="15.6" hidden="1" customHeight="1">
      <c r="A25" s="530">
        <v>2018</v>
      </c>
      <c r="B25" s="529">
        <v>253</v>
      </c>
      <c r="C25" s="529" t="e">
        <f>#REF!-#REF!</f>
        <v>#REF!</v>
      </c>
      <c r="D25" s="529" t="e">
        <f>#REF!-#REF!</f>
        <v>#REF!</v>
      </c>
      <c r="E25" s="529" t="e">
        <f>#REF!-#REF!</f>
        <v>#REF!</v>
      </c>
      <c r="F25" s="529" t="e">
        <f>#REF!-#REF!</f>
        <v>#REF!</v>
      </c>
      <c r="G25" s="529" t="e">
        <f>#REF!-#REF!</f>
        <v>#REF!</v>
      </c>
      <c r="H25" s="2"/>
      <c r="I25" s="2"/>
      <c r="J25" s="2"/>
      <c r="K25" s="2"/>
      <c r="L25" s="2"/>
      <c r="M25" s="2"/>
    </row>
    <row r="26" spans="1:13" ht="15.6" hidden="1" customHeight="1">
      <c r="A26" s="530">
        <v>2019</v>
      </c>
      <c r="B26" s="529">
        <v>1015</v>
      </c>
      <c r="C26" s="529" t="e">
        <f>#REF!-#REF!</f>
        <v>#REF!</v>
      </c>
      <c r="D26" s="529" t="e">
        <f>#REF!-#REF!</f>
        <v>#REF!</v>
      </c>
      <c r="E26" s="529">
        <v>303</v>
      </c>
      <c r="F26" s="529" t="e">
        <f>#REF!-#REF!</f>
        <v>#REF!</v>
      </c>
      <c r="G26" s="529"/>
      <c r="H26" s="2"/>
      <c r="I26" s="2"/>
      <c r="J26" s="2"/>
      <c r="K26" s="2"/>
      <c r="L26" s="2"/>
      <c r="M26" s="2"/>
    </row>
    <row r="27" spans="1:13" ht="15.6" hidden="1" customHeight="1">
      <c r="A27" s="530">
        <v>2020</v>
      </c>
      <c r="B27" s="529">
        <v>406</v>
      </c>
      <c r="C27" s="529" t="e">
        <f>#REF!-#REF!</f>
        <v>#REF!</v>
      </c>
      <c r="D27" s="529" t="e">
        <f>#REF!-#REF!</f>
        <v>#REF!</v>
      </c>
      <c r="E27" s="529" t="e">
        <f>#REF!-#REF!</f>
        <v>#REF!</v>
      </c>
      <c r="F27" s="529"/>
      <c r="G27" s="529"/>
      <c r="H27" s="2"/>
      <c r="I27" s="2"/>
      <c r="J27" s="2"/>
      <c r="K27" s="2"/>
      <c r="L27" s="2"/>
      <c r="M27" s="2"/>
    </row>
    <row r="28" spans="1:13" ht="15.6" hidden="1" customHeight="1">
      <c r="A28" s="530">
        <v>2021</v>
      </c>
      <c r="B28" s="529">
        <v>542</v>
      </c>
      <c r="C28" s="529" t="e">
        <f>#REF!-#REF!</f>
        <v>#REF!</v>
      </c>
      <c r="D28" s="529" t="e">
        <f>#REF!-#REF!</f>
        <v>#REF!</v>
      </c>
      <c r="E28" s="529"/>
      <c r="F28" s="529"/>
      <c r="G28" s="529"/>
      <c r="H28" s="2"/>
      <c r="I28" s="2"/>
      <c r="J28" s="2"/>
      <c r="K28" s="2"/>
      <c r="L28" s="2"/>
      <c r="M28" s="2"/>
    </row>
    <row r="29" spans="1:13" ht="15.6" hidden="1" customHeight="1">
      <c r="A29" s="530">
        <v>2022</v>
      </c>
      <c r="B29" s="529">
        <v>782</v>
      </c>
      <c r="C29" s="529" t="e">
        <f>#REF!-#REF!</f>
        <v>#REF!</v>
      </c>
      <c r="D29" s="529"/>
      <c r="E29" s="529"/>
      <c r="F29" s="529"/>
      <c r="G29" s="529"/>
      <c r="H29" s="2"/>
      <c r="I29" s="2"/>
      <c r="J29" s="2"/>
      <c r="K29" s="2"/>
      <c r="L29" s="2"/>
      <c r="M29" s="2"/>
    </row>
    <row r="30" spans="1:13" ht="15.6" hidden="1" customHeight="1">
      <c r="A30" s="530">
        <v>2023</v>
      </c>
      <c r="B30" s="529">
        <v>1184</v>
      </c>
      <c r="C30" s="529"/>
      <c r="D30" s="529"/>
      <c r="E30" s="529"/>
      <c r="F30" s="529"/>
      <c r="G30" s="529"/>
      <c r="H30" s="2"/>
      <c r="I30" s="2"/>
      <c r="J30" s="2"/>
      <c r="K30" s="2"/>
      <c r="L30" s="2"/>
      <c r="M30" s="2"/>
    </row>
    <row r="31" spans="1:13" ht="15.6">
      <c r="A31" s="524"/>
      <c r="B31" s="531"/>
      <c r="C31" s="531"/>
      <c r="D31" s="531"/>
      <c r="E31" s="531"/>
      <c r="F31" s="531"/>
      <c r="G31" s="531"/>
      <c r="H31" s="2"/>
      <c r="I31" s="2"/>
      <c r="J31" s="2"/>
      <c r="K31" s="2"/>
      <c r="L31" s="2"/>
      <c r="M31" s="2"/>
    </row>
    <row r="32" spans="1:13" ht="15.6">
      <c r="A32" s="1751" t="s">
        <v>31</v>
      </c>
      <c r="B32" s="1746" t="s">
        <v>569</v>
      </c>
      <c r="C32" s="1747"/>
      <c r="D32" s="1747"/>
      <c r="E32" s="1747"/>
      <c r="F32" s="1747"/>
      <c r="G32" s="1748"/>
      <c r="H32" s="2"/>
      <c r="I32" s="2"/>
      <c r="J32" s="2"/>
      <c r="K32" s="2"/>
      <c r="L32" s="2"/>
      <c r="M32" s="2"/>
    </row>
    <row r="33" spans="1:13" ht="15.6">
      <c r="A33" s="1751"/>
      <c r="B33" s="528">
        <v>12</v>
      </c>
      <c r="C33" s="528">
        <v>24</v>
      </c>
      <c r="D33" s="528">
        <v>36</v>
      </c>
      <c r="E33" s="528">
        <v>48</v>
      </c>
      <c r="F33" s="528">
        <v>60</v>
      </c>
      <c r="G33" s="528">
        <v>72</v>
      </c>
      <c r="H33" s="2"/>
      <c r="I33" s="2"/>
      <c r="J33" s="2"/>
      <c r="K33" s="2"/>
      <c r="L33" s="2"/>
      <c r="M33" s="2"/>
    </row>
    <row r="34" spans="1:13" ht="15.6">
      <c r="A34" s="530">
        <v>2018</v>
      </c>
      <c r="B34" s="529" t="s">
        <v>568</v>
      </c>
      <c r="C34" s="529" t="s">
        <v>568</v>
      </c>
      <c r="D34" s="529" t="s">
        <v>568</v>
      </c>
      <c r="E34" s="529" t="s">
        <v>568</v>
      </c>
      <c r="F34" s="529" t="s">
        <v>568</v>
      </c>
      <c r="G34" s="529">
        <v>7706</v>
      </c>
      <c r="H34" s="2"/>
      <c r="I34" s="2"/>
      <c r="J34" s="2"/>
      <c r="K34" s="2"/>
      <c r="L34" s="2"/>
      <c r="M34" s="2"/>
    </row>
    <row r="35" spans="1:13" ht="15.6">
      <c r="A35" s="530">
        <v>2019</v>
      </c>
      <c r="B35" s="529" t="s">
        <v>568</v>
      </c>
      <c r="C35" s="529" t="s">
        <v>568</v>
      </c>
      <c r="D35" s="529" t="s">
        <v>568</v>
      </c>
      <c r="E35" s="529" t="s">
        <v>568</v>
      </c>
      <c r="F35" s="529">
        <v>7435</v>
      </c>
      <c r="G35" s="529"/>
      <c r="H35" s="2"/>
      <c r="I35" s="2"/>
      <c r="J35" s="2"/>
      <c r="K35" s="2"/>
      <c r="L35" s="2"/>
      <c r="M35" s="2"/>
    </row>
    <row r="36" spans="1:13" ht="15.6">
      <c r="A36" s="530">
        <v>2020</v>
      </c>
      <c r="B36" s="529" t="s">
        <v>568</v>
      </c>
      <c r="C36" s="529" t="s">
        <v>568</v>
      </c>
      <c r="D36" s="529" t="s">
        <v>568</v>
      </c>
      <c r="E36" s="529">
        <v>7692</v>
      </c>
      <c r="F36" s="529"/>
      <c r="G36" s="529"/>
      <c r="H36" s="2"/>
      <c r="I36" s="2"/>
      <c r="J36" s="2"/>
      <c r="K36" s="2"/>
      <c r="L36" s="2"/>
      <c r="M36" s="2"/>
    </row>
    <row r="37" spans="1:13" ht="15.6">
      <c r="A37" s="530">
        <v>2021</v>
      </c>
      <c r="B37" s="529" t="s">
        <v>568</v>
      </c>
      <c r="C37" s="529" t="s">
        <v>568</v>
      </c>
      <c r="D37" s="529">
        <v>7047</v>
      </c>
      <c r="E37" s="529"/>
      <c r="F37" s="529"/>
      <c r="G37" s="529"/>
      <c r="H37" s="2"/>
      <c r="I37" s="2"/>
      <c r="J37" s="2"/>
      <c r="K37" s="2"/>
      <c r="L37" s="2"/>
      <c r="M37" s="2"/>
    </row>
    <row r="38" spans="1:13" ht="15.6">
      <c r="A38" s="530">
        <v>2022</v>
      </c>
      <c r="B38" s="529" t="s">
        <v>568</v>
      </c>
      <c r="C38" s="529">
        <v>5630</v>
      </c>
      <c r="D38" s="529"/>
      <c r="E38" s="529"/>
      <c r="F38" s="529"/>
      <c r="G38" s="529"/>
      <c r="H38" s="2"/>
      <c r="I38" s="2"/>
      <c r="J38" s="2"/>
      <c r="K38" s="2"/>
      <c r="L38" s="2"/>
      <c r="M38" s="2"/>
    </row>
    <row r="39" spans="1:13" ht="15.6">
      <c r="A39" s="530">
        <v>2023</v>
      </c>
      <c r="B39" s="529">
        <v>4239</v>
      </c>
      <c r="C39" s="529"/>
      <c r="D39" s="529"/>
      <c r="E39" s="529"/>
      <c r="F39" s="529"/>
      <c r="G39" s="529"/>
      <c r="H39" s="2"/>
      <c r="I39" s="2"/>
      <c r="J39" s="2"/>
      <c r="K39" s="2"/>
      <c r="L39" s="2"/>
      <c r="M39" s="2"/>
    </row>
    <row r="40" spans="1:13" ht="15.6">
      <c r="A40" s="22"/>
      <c r="B40" s="22"/>
      <c r="C40" s="22"/>
      <c r="D40" s="22"/>
      <c r="E40" s="22"/>
      <c r="F40" s="22"/>
      <c r="G40" s="22"/>
      <c r="H40" s="22"/>
      <c r="I40" s="2"/>
      <c r="J40" s="2"/>
      <c r="K40" s="2"/>
      <c r="L40" s="2"/>
      <c r="M40" s="2"/>
    </row>
    <row r="41" spans="1:13" ht="45" customHeight="1">
      <c r="A41" s="1754"/>
      <c r="B41" s="1754"/>
      <c r="C41" s="1754"/>
      <c r="D41" s="528" t="s">
        <v>542</v>
      </c>
      <c r="E41" s="528" t="s">
        <v>541</v>
      </c>
      <c r="F41" s="22"/>
      <c r="G41" s="22"/>
      <c r="H41" s="22"/>
      <c r="I41" s="2"/>
      <c r="J41" s="2"/>
      <c r="K41" s="2"/>
      <c r="L41" s="2"/>
      <c r="M41" s="2"/>
    </row>
    <row r="42" spans="1:13" ht="15.6">
      <c r="A42" s="1755" t="s">
        <v>567</v>
      </c>
      <c r="B42" s="1755"/>
      <c r="C42" s="1755"/>
      <c r="D42" s="527">
        <v>6000</v>
      </c>
      <c r="E42" s="527">
        <v>11500</v>
      </c>
      <c r="F42" s="22"/>
      <c r="G42" s="22"/>
      <c r="H42" s="22"/>
      <c r="I42" s="2"/>
      <c r="J42" s="2"/>
      <c r="K42" s="2"/>
      <c r="L42" s="2"/>
      <c r="M42" s="2"/>
    </row>
    <row r="43" spans="1:13" ht="15.6">
      <c r="A43" s="1755" t="s">
        <v>566</v>
      </c>
      <c r="B43" s="1755"/>
      <c r="C43" s="1755"/>
      <c r="D43" s="525">
        <v>0.7</v>
      </c>
      <c r="E43" s="525">
        <v>0.65</v>
      </c>
      <c r="F43" s="22"/>
      <c r="G43" s="22"/>
      <c r="H43" s="22"/>
      <c r="I43" s="2"/>
      <c r="J43" s="2"/>
      <c r="K43" s="2"/>
      <c r="L43" s="2"/>
      <c r="M43" s="2"/>
    </row>
    <row r="44" spans="1:13" ht="15.6">
      <c r="A44" s="524"/>
      <c r="B44" s="524"/>
      <c r="C44" s="523"/>
      <c r="D44" s="522"/>
      <c r="E44" s="22"/>
      <c r="F44" s="22"/>
      <c r="G44" s="22"/>
      <c r="H44" s="22"/>
      <c r="I44" s="2"/>
      <c r="J44" s="2"/>
      <c r="K44" s="2"/>
      <c r="L44" s="2"/>
      <c r="M44" s="2"/>
    </row>
    <row r="45" spans="1:13" ht="15.6">
      <c r="A45" s="519" t="s">
        <v>565</v>
      </c>
      <c r="B45" s="408"/>
      <c r="C45" s="520"/>
      <c r="D45" s="520"/>
      <c r="E45" s="520"/>
      <c r="F45" s="520"/>
      <c r="G45" s="520"/>
      <c r="H45" s="520"/>
      <c r="I45" s="22"/>
      <c r="J45" s="22"/>
      <c r="K45" s="22"/>
      <c r="L45" s="22"/>
      <c r="M45" s="22"/>
    </row>
    <row r="46" spans="1:13" ht="15.6">
      <c r="A46" s="519" t="s">
        <v>564</v>
      </c>
      <c r="B46" s="408"/>
      <c r="C46" s="520"/>
      <c r="D46" s="520"/>
      <c r="E46" s="520"/>
      <c r="F46" s="520"/>
      <c r="G46" s="520"/>
      <c r="H46" s="520"/>
      <c r="I46" s="22"/>
      <c r="J46" s="22"/>
      <c r="K46" s="22"/>
      <c r="L46" s="22"/>
      <c r="M46" s="22"/>
    </row>
    <row r="47" spans="1:13" ht="15.6">
      <c r="A47" s="519" t="s">
        <v>563</v>
      </c>
      <c r="B47" s="408"/>
      <c r="C47" s="520"/>
      <c r="D47" s="520"/>
      <c r="E47" s="520"/>
      <c r="F47" s="520"/>
      <c r="G47" s="520"/>
      <c r="H47" s="520"/>
      <c r="I47" s="22"/>
      <c r="J47" s="22"/>
      <c r="K47" s="22"/>
      <c r="L47" s="22"/>
      <c r="M47" s="22"/>
    </row>
    <row r="48" spans="1:13" ht="15.6">
      <c r="A48" s="519" t="s">
        <v>562</v>
      </c>
      <c r="B48" s="408"/>
      <c r="C48" s="520"/>
      <c r="D48" s="520"/>
      <c r="E48" s="22"/>
      <c r="F48" s="22"/>
      <c r="G48" s="520"/>
      <c r="H48" s="520"/>
      <c r="I48" s="324" t="s">
        <v>561</v>
      </c>
      <c r="J48" s="521">
        <v>46986</v>
      </c>
      <c r="K48" s="22" t="s">
        <v>560</v>
      </c>
      <c r="L48" s="22"/>
      <c r="M48" s="22"/>
    </row>
    <row r="49" spans="1:13" ht="15.6">
      <c r="A49" s="519" t="s">
        <v>559</v>
      </c>
      <c r="B49" s="408"/>
      <c r="C49" s="520"/>
      <c r="D49" s="520"/>
      <c r="E49" s="22"/>
      <c r="F49" s="22"/>
      <c r="G49" s="518"/>
      <c r="H49" s="520"/>
      <c r="I49" s="22"/>
      <c r="J49" s="22"/>
      <c r="K49" s="22"/>
      <c r="L49" s="22"/>
      <c r="M49" s="22"/>
    </row>
    <row r="50" spans="1:13" ht="15.6">
      <c r="A50" s="519" t="s">
        <v>558</v>
      </c>
      <c r="B50" s="22"/>
      <c r="C50" s="22"/>
      <c r="D50" s="22"/>
      <c r="E50" s="497"/>
      <c r="F50" s="497"/>
      <c r="G50" s="518"/>
      <c r="H50" s="515"/>
      <c r="I50" s="517" t="s">
        <v>557</v>
      </c>
      <c r="J50" s="516">
        <v>0.03</v>
      </c>
      <c r="K50" s="497"/>
      <c r="L50" s="497"/>
      <c r="M50" s="497"/>
    </row>
    <row r="51" spans="1:13" ht="15.6">
      <c r="A51" s="22"/>
      <c r="B51" s="22"/>
      <c r="C51" s="22"/>
      <c r="D51" s="22"/>
      <c r="E51" s="22"/>
      <c r="F51" s="22"/>
      <c r="G51" s="497"/>
      <c r="H51" s="515"/>
      <c r="I51" s="513"/>
      <c r="J51" s="497"/>
      <c r="K51" s="497"/>
      <c r="L51" s="497"/>
      <c r="M51" s="497"/>
    </row>
    <row r="52" spans="1:13" ht="15.6">
      <c r="A52" s="22" t="s">
        <v>556</v>
      </c>
      <c r="B52" s="22"/>
      <c r="C52" s="22"/>
      <c r="D52" s="22"/>
      <c r="E52" s="22"/>
      <c r="F52" s="22"/>
      <c r="G52" s="497"/>
      <c r="H52" s="514"/>
      <c r="I52" s="513"/>
      <c r="J52" s="497"/>
      <c r="K52" s="497"/>
      <c r="L52" s="497"/>
      <c r="M52" s="497"/>
    </row>
    <row r="53" spans="1:13" ht="16.2">
      <c r="A53" s="496" t="s">
        <v>64</v>
      </c>
      <c r="B53" s="342"/>
      <c r="C53" s="22"/>
      <c r="D53" s="22"/>
      <c r="E53" s="22"/>
      <c r="F53" s="22"/>
      <c r="G53" s="22"/>
      <c r="H53" s="22"/>
      <c r="I53" s="22"/>
      <c r="J53" s="22"/>
      <c r="K53" s="22"/>
      <c r="L53" s="22"/>
      <c r="M53" s="22"/>
    </row>
    <row r="54" spans="1:13" ht="15.6">
      <c r="A54" s="1"/>
      <c r="B54" s="1"/>
      <c r="C54" s="1"/>
      <c r="D54" s="1"/>
      <c r="E54" s="1"/>
      <c r="F54" s="1"/>
      <c r="G54" s="1"/>
      <c r="H54" s="1"/>
      <c r="I54" s="1"/>
      <c r="J54" s="1"/>
      <c r="K54" s="1"/>
      <c r="L54" s="1"/>
      <c r="M54" s="1"/>
    </row>
    <row r="55" spans="1:13" ht="15.6">
      <c r="A55" s="1"/>
      <c r="B55" s="1"/>
      <c r="C55" s="1" t="s">
        <v>555</v>
      </c>
      <c r="D55" s="1"/>
      <c r="E55" s="1"/>
      <c r="F55" s="1"/>
      <c r="G55" s="1"/>
      <c r="H55" s="1"/>
      <c r="I55" s="1"/>
      <c r="J55" s="1"/>
      <c r="K55" s="1"/>
      <c r="L55" s="1"/>
      <c r="M55" s="1"/>
    </row>
    <row r="56" spans="1:13" ht="15.6">
      <c r="A56" s="36" t="s">
        <v>554</v>
      </c>
      <c r="B56" s="36" t="s">
        <v>482</v>
      </c>
      <c r="C56" s="36" t="s">
        <v>481</v>
      </c>
      <c r="D56" s="36" t="s">
        <v>480</v>
      </c>
      <c r="E56" s="36" t="s">
        <v>479</v>
      </c>
      <c r="F56" s="36" t="s">
        <v>478</v>
      </c>
      <c r="G56" s="36" t="s">
        <v>553</v>
      </c>
      <c r="H56" s="1"/>
      <c r="I56" s="1"/>
      <c r="J56" s="1"/>
      <c r="K56" s="1"/>
      <c r="L56" s="1"/>
      <c r="M56" s="1"/>
    </row>
    <row r="57" spans="1:13" ht="15.6">
      <c r="A57" s="9" t="s">
        <v>552</v>
      </c>
      <c r="B57" s="511">
        <f>SUM(C7:C11)/SUM(B7:B11)</f>
        <v>1.2583674174779653</v>
      </c>
      <c r="C57" s="512">
        <f>SUM(D7:D10)/SUM(C7:C10)</f>
        <v>1.0841856805664831</v>
      </c>
      <c r="D57" s="511">
        <f>SUM(E7:E9)/SUM(D7:D9)</f>
        <v>1.0550515892251229</v>
      </c>
      <c r="E57" s="511">
        <f>SUM(F7:F8)/SUM(E7:E8)</f>
        <v>1.0255451713395638</v>
      </c>
      <c r="F57" s="511">
        <f>SUM(G7)/SUM(F7)</f>
        <v>1.0099403578528827</v>
      </c>
      <c r="G57" s="511">
        <v>1</v>
      </c>
      <c r="H57" s="1"/>
      <c r="I57" s="1"/>
      <c r="J57" s="1"/>
      <c r="K57" s="1"/>
      <c r="L57" s="1"/>
      <c r="M57" s="1"/>
    </row>
    <row r="58" spans="1:13" ht="15.6">
      <c r="A58" s="9" t="s">
        <v>551</v>
      </c>
      <c r="B58" s="511">
        <f>B57*C58</f>
        <v>1.4908548039904355</v>
      </c>
      <c r="C58" s="511">
        <f>C57*D58</f>
        <v>1.1847531835959517</v>
      </c>
      <c r="D58" s="511">
        <f>D57*E58</f>
        <v>1.0927585604865417</v>
      </c>
      <c r="E58" s="511">
        <f>E57*F58</f>
        <v>1.0357394573369749</v>
      </c>
      <c r="F58" s="511">
        <f>F57</f>
        <v>1.0099403578528827</v>
      </c>
      <c r="G58" s="511">
        <v>1</v>
      </c>
      <c r="H58" s="493"/>
      <c r="I58" s="1"/>
      <c r="J58" s="493"/>
      <c r="K58" s="1"/>
      <c r="L58" s="1"/>
      <c r="M58" s="1"/>
    </row>
    <row r="59" spans="1:13" ht="15.6">
      <c r="A59" s="1"/>
      <c r="B59" s="510"/>
      <c r="C59" s="510"/>
      <c r="D59" s="510"/>
      <c r="E59" s="510"/>
      <c r="F59" s="510"/>
      <c r="G59" s="509" t="s">
        <v>98</v>
      </c>
      <c r="H59" s="192"/>
      <c r="I59" s="1"/>
      <c r="J59" s="192"/>
      <c r="K59" s="1"/>
      <c r="L59" s="1"/>
      <c r="M59" s="1"/>
    </row>
    <row r="60" spans="1:13" ht="15.6">
      <c r="A60" s="508" t="s">
        <v>550</v>
      </c>
      <c r="B60" s="506">
        <f>(B58-1)*B12</f>
        <v>1499.5614261907804</v>
      </c>
      <c r="C60" s="506">
        <f>(C58-1)*C11</f>
        <v>748.25039356360446</v>
      </c>
      <c r="D60" s="506">
        <f>(D58-1)*D10</f>
        <v>449.97177692021398</v>
      </c>
      <c r="E60" s="506">
        <f>(E58-1)*E9</f>
        <v>200.3553978310814</v>
      </c>
      <c r="F60" s="506">
        <f>(F58-1)*F8</f>
        <v>43.170974155069651</v>
      </c>
      <c r="G60" s="506">
        <f>SUM(B60:F60)</f>
        <v>2941.3099686607502</v>
      </c>
      <c r="H60" s="493"/>
      <c r="I60" s="1"/>
      <c r="J60" s="493"/>
      <c r="K60" s="1"/>
      <c r="L60" s="1"/>
      <c r="M60" s="1"/>
    </row>
    <row r="61" spans="1:13" ht="15.6">
      <c r="A61" s="14"/>
      <c r="B61" s="507"/>
      <c r="C61" s="507"/>
      <c r="D61" s="507"/>
      <c r="E61" s="507"/>
      <c r="F61" s="507"/>
      <c r="G61" s="507"/>
      <c r="H61" s="493"/>
      <c r="I61" s="1"/>
      <c r="J61" s="493"/>
      <c r="K61" s="1"/>
      <c r="L61" s="1"/>
      <c r="M61" s="1"/>
    </row>
    <row r="62" spans="1:13" ht="15.6">
      <c r="A62" s="1"/>
      <c r="B62" s="1"/>
      <c r="C62" s="1" t="s">
        <v>534</v>
      </c>
      <c r="D62" s="494"/>
      <c r="E62" s="494"/>
      <c r="F62" s="1"/>
      <c r="G62" s="1"/>
      <c r="H62" s="192"/>
      <c r="I62" s="1"/>
      <c r="J62" s="192"/>
      <c r="K62" s="1"/>
      <c r="L62" s="1"/>
      <c r="M62" s="1"/>
    </row>
    <row r="63" spans="1:13" ht="15.6">
      <c r="A63" s="1749" t="s">
        <v>549</v>
      </c>
      <c r="B63" s="1749"/>
      <c r="C63" s="506">
        <f>J48-SUM(B39,C38,D37,E36,F35,G34)</f>
        <v>7237</v>
      </c>
      <c r="D63" s="1"/>
      <c r="E63" s="1"/>
      <c r="F63" s="1"/>
      <c r="G63" s="1"/>
      <c r="H63" s="493"/>
      <c r="I63" s="1"/>
      <c r="J63" s="493"/>
      <c r="K63" s="1"/>
      <c r="L63" s="1"/>
      <c r="M63" s="1"/>
    </row>
    <row r="64" spans="1:13" ht="15.6">
      <c r="A64" s="1750" t="s">
        <v>548</v>
      </c>
      <c r="B64" s="1750"/>
      <c r="C64" s="501">
        <f>C63-G60</f>
        <v>4295.6900313392498</v>
      </c>
      <c r="D64" s="1"/>
      <c r="E64" s="1"/>
      <c r="F64" s="1"/>
      <c r="G64" s="1"/>
      <c r="H64" s="493"/>
      <c r="I64" s="1"/>
      <c r="J64" s="493"/>
      <c r="K64" s="1"/>
      <c r="L64" s="1"/>
      <c r="M64" s="1"/>
    </row>
    <row r="65" spans="1:13" ht="15.6">
      <c r="A65" s="1"/>
      <c r="B65" s="1"/>
      <c r="C65" s="1"/>
      <c r="D65" s="1"/>
      <c r="E65" s="1"/>
      <c r="F65" s="1"/>
      <c r="G65" s="1"/>
      <c r="H65" s="1"/>
      <c r="I65" s="1"/>
      <c r="J65" s="192"/>
      <c r="K65" s="1"/>
      <c r="L65" s="1"/>
      <c r="M65" s="1"/>
    </row>
    <row r="66" spans="1:13" ht="15.6">
      <c r="A66" s="22" t="s">
        <v>547</v>
      </c>
      <c r="B66" s="22"/>
      <c r="C66" s="22"/>
      <c r="D66" s="22"/>
      <c r="E66" s="22"/>
      <c r="F66" s="22"/>
      <c r="G66" s="22"/>
      <c r="H66" s="22"/>
      <c r="I66" s="22"/>
      <c r="J66" s="341"/>
      <c r="K66" s="22"/>
      <c r="L66" s="22"/>
      <c r="M66" s="22"/>
    </row>
    <row r="67" spans="1:13" ht="16.2">
      <c r="A67" s="496" t="s">
        <v>64</v>
      </c>
      <c r="B67" s="342"/>
      <c r="C67" s="22"/>
      <c r="D67" s="22"/>
      <c r="E67" s="22"/>
      <c r="F67" s="22"/>
      <c r="G67" s="22"/>
      <c r="H67" s="22"/>
      <c r="I67" s="22"/>
      <c r="J67" s="341"/>
      <c r="K67" s="22"/>
      <c r="L67" s="22"/>
      <c r="M67" s="22"/>
    </row>
    <row r="68" spans="1:13" ht="16.2" customHeight="1">
      <c r="A68" s="1686" t="s">
        <v>546</v>
      </c>
      <c r="B68" s="1686"/>
      <c r="C68" s="1686"/>
      <c r="D68" s="1686"/>
      <c r="E68" s="1686"/>
      <c r="F68" s="1686"/>
      <c r="G68" s="1686"/>
      <c r="H68" s="1686"/>
      <c r="I68" s="1686"/>
      <c r="J68" s="1686"/>
      <c r="K68" s="1686"/>
      <c r="L68" s="1686"/>
      <c r="M68" s="1686"/>
    </row>
    <row r="69" spans="1:13">
      <c r="A69" s="1686"/>
      <c r="B69" s="1686"/>
      <c r="C69" s="1686"/>
      <c r="D69" s="1686"/>
      <c r="E69" s="1686"/>
      <c r="F69" s="1686"/>
      <c r="G69" s="1686"/>
      <c r="H69" s="1686"/>
      <c r="I69" s="1686"/>
      <c r="J69" s="1686"/>
      <c r="K69" s="1686"/>
      <c r="L69" s="1686"/>
      <c r="M69" s="1686"/>
    </row>
    <row r="70" spans="1:13">
      <c r="A70" s="1686"/>
      <c r="B70" s="1686"/>
      <c r="C70" s="1686"/>
      <c r="D70" s="1686"/>
      <c r="E70" s="1686"/>
      <c r="F70" s="1686"/>
      <c r="G70" s="1686"/>
      <c r="H70" s="1686"/>
      <c r="I70" s="1686"/>
      <c r="J70" s="1686"/>
      <c r="K70" s="1686"/>
      <c r="L70" s="1686"/>
      <c r="M70" s="1686"/>
    </row>
    <row r="71" spans="1:13" ht="15.6">
      <c r="A71" s="22" t="s">
        <v>545</v>
      </c>
      <c r="B71" s="22"/>
      <c r="C71" s="22"/>
      <c r="D71" s="22"/>
      <c r="E71" s="22"/>
      <c r="F71" s="22"/>
      <c r="G71" s="22"/>
      <c r="H71" s="22"/>
      <c r="I71" s="22"/>
      <c r="J71" s="341"/>
      <c r="K71" s="22"/>
      <c r="L71" s="22"/>
      <c r="M71" s="22"/>
    </row>
    <row r="72" spans="1:13" ht="16.2">
      <c r="A72" s="496" t="s">
        <v>64</v>
      </c>
      <c r="B72" s="342"/>
      <c r="C72" s="22"/>
      <c r="D72" s="22"/>
      <c r="E72" s="22"/>
      <c r="F72" s="22"/>
      <c r="G72" s="22"/>
      <c r="H72" s="22"/>
      <c r="I72" s="22"/>
      <c r="J72" s="341"/>
      <c r="K72" s="22"/>
      <c r="L72" s="22"/>
      <c r="M72" s="22"/>
    </row>
    <row r="73" spans="1:13" ht="16.2" customHeight="1">
      <c r="A73" s="1686" t="s">
        <v>544</v>
      </c>
      <c r="B73" s="1686"/>
      <c r="C73" s="1686"/>
      <c r="D73" s="1686"/>
      <c r="E73" s="1686"/>
      <c r="F73" s="1686"/>
      <c r="G73" s="1686"/>
      <c r="H73" s="1686"/>
      <c r="I73" s="1686"/>
      <c r="J73" s="1686"/>
      <c r="K73" s="1686"/>
      <c r="L73" s="1686"/>
      <c r="M73" s="1686"/>
    </row>
    <row r="74" spans="1:13">
      <c r="A74" s="1686"/>
      <c r="B74" s="1686"/>
      <c r="C74" s="1686"/>
      <c r="D74" s="1686"/>
      <c r="E74" s="1686"/>
      <c r="F74" s="1686"/>
      <c r="G74" s="1686"/>
      <c r="H74" s="1686"/>
      <c r="I74" s="1686"/>
      <c r="J74" s="1686"/>
      <c r="K74" s="1686"/>
      <c r="L74" s="1686"/>
      <c r="M74" s="1686"/>
    </row>
    <row r="75" spans="1:13">
      <c r="A75" s="1686"/>
      <c r="B75" s="1686"/>
      <c r="C75" s="1686"/>
      <c r="D75" s="1686"/>
      <c r="E75" s="1686"/>
      <c r="F75" s="1686"/>
      <c r="G75" s="1686"/>
      <c r="H75" s="1686"/>
      <c r="I75" s="1686"/>
      <c r="J75" s="1686"/>
      <c r="K75" s="1686"/>
      <c r="L75" s="1686"/>
      <c r="M75" s="1686"/>
    </row>
    <row r="76" spans="1:13" ht="15.6">
      <c r="A76" s="22" t="s">
        <v>543</v>
      </c>
      <c r="B76" s="22"/>
      <c r="C76" s="22"/>
      <c r="D76" s="22"/>
      <c r="E76" s="22"/>
      <c r="F76" s="22"/>
      <c r="G76" s="22"/>
      <c r="H76" s="22"/>
      <c r="I76" s="22"/>
      <c r="J76" s="341"/>
      <c r="K76" s="22"/>
      <c r="L76" s="22"/>
      <c r="M76" s="22"/>
    </row>
    <row r="77" spans="1:13" ht="16.2">
      <c r="A77" s="496" t="s">
        <v>64</v>
      </c>
      <c r="B77" s="342"/>
      <c r="C77" s="22"/>
      <c r="D77" s="22"/>
      <c r="E77" s="22"/>
      <c r="F77" s="22"/>
      <c r="G77" s="22"/>
      <c r="H77" s="22"/>
      <c r="I77" s="22"/>
      <c r="J77" s="341"/>
      <c r="K77" s="22"/>
      <c r="L77" s="22"/>
      <c r="M77" s="22"/>
    </row>
    <row r="78" spans="1:13" ht="15.6">
      <c r="A78" s="1"/>
      <c r="B78" s="1"/>
      <c r="C78" s="1"/>
      <c r="D78" s="1"/>
      <c r="E78" s="1"/>
      <c r="F78" s="1"/>
      <c r="G78" s="1"/>
      <c r="H78" s="1"/>
      <c r="I78" s="1"/>
      <c r="J78" s="192"/>
      <c r="K78" s="1"/>
      <c r="L78" s="1"/>
      <c r="M78" s="1"/>
    </row>
    <row r="79" spans="1:13" ht="15.6">
      <c r="A79" s="1744" t="s">
        <v>534</v>
      </c>
      <c r="B79" s="1745"/>
      <c r="C79" s="505" t="s">
        <v>542</v>
      </c>
      <c r="D79" s="505" t="s">
        <v>541</v>
      </c>
      <c r="E79" s="1"/>
      <c r="F79" s="1"/>
      <c r="G79" s="1"/>
      <c r="H79" s="1"/>
      <c r="I79" s="1"/>
      <c r="J79" s="192"/>
      <c r="K79" s="1"/>
      <c r="L79" s="1"/>
      <c r="M79" s="1"/>
    </row>
    <row r="80" spans="1:13" ht="15.6">
      <c r="A80" s="1742" t="s">
        <v>540</v>
      </c>
      <c r="B80" s="1743"/>
      <c r="C80" s="504">
        <f>D42*(J50+1)^0.5</f>
        <v>6089.3349390553321</v>
      </c>
      <c r="D80" s="504">
        <f>E42*(J50+1)^0.5</f>
        <v>11671.225299856053</v>
      </c>
      <c r="E80" s="493"/>
      <c r="F80" s="1"/>
      <c r="G80" s="477"/>
      <c r="H80" s="476"/>
      <c r="I80" s="1"/>
      <c r="J80" s="1"/>
      <c r="K80" s="1"/>
      <c r="L80" s="1"/>
      <c r="M80" s="1"/>
    </row>
    <row r="81" spans="1:13" ht="15.6">
      <c r="A81" s="1744" t="s">
        <v>539</v>
      </c>
      <c r="B81" s="1745"/>
      <c r="C81" s="501">
        <f>C80*D43</f>
        <v>4262.534457338732</v>
      </c>
      <c r="D81" s="501">
        <f>D80*E43</f>
        <v>7586.2964449064348</v>
      </c>
      <c r="E81" s="493"/>
      <c r="F81" s="1"/>
      <c r="G81" s="1"/>
      <c r="H81" s="1"/>
      <c r="I81" s="1"/>
      <c r="J81" s="1"/>
      <c r="K81" s="1"/>
      <c r="L81" s="1"/>
      <c r="M81" s="1"/>
    </row>
    <row r="82" spans="1:13" ht="15.6">
      <c r="A82" s="1744" t="s">
        <v>530</v>
      </c>
      <c r="B82" s="1745"/>
      <c r="C82" s="501">
        <f>(D81-C81)-(B39-B12)</f>
        <v>2139.7619875677028</v>
      </c>
      <c r="D82" s="500"/>
      <c r="E82" s="493"/>
      <c r="F82" s="1"/>
      <c r="G82" s="1"/>
      <c r="H82" s="1"/>
      <c r="I82" s="1"/>
      <c r="J82" s="1"/>
      <c r="K82" s="1"/>
      <c r="L82" s="1"/>
      <c r="M82" s="1"/>
    </row>
    <row r="83" spans="1:13" ht="15.6">
      <c r="A83" s="1"/>
      <c r="B83" s="1"/>
      <c r="C83" s="1"/>
      <c r="D83" s="1"/>
      <c r="E83" s="1"/>
      <c r="F83" s="1"/>
      <c r="G83" s="1"/>
      <c r="H83" s="1"/>
      <c r="I83" s="1"/>
      <c r="J83" s="192"/>
      <c r="K83" s="1"/>
      <c r="L83" s="1"/>
      <c r="M83" s="1"/>
    </row>
    <row r="84" spans="1:13">
      <c r="A84" s="1741" t="s">
        <v>538</v>
      </c>
      <c r="B84" s="1741"/>
      <c r="C84" s="1741"/>
      <c r="D84" s="1741"/>
      <c r="E84" s="1741"/>
      <c r="F84" s="1741"/>
      <c r="G84" s="1741"/>
      <c r="H84" s="1741"/>
      <c r="I84" s="1741"/>
      <c r="J84" s="1741"/>
      <c r="K84" s="1741"/>
      <c r="L84" s="1741"/>
      <c r="M84" s="1741"/>
    </row>
    <row r="85" spans="1:13">
      <c r="A85" s="1741"/>
      <c r="B85" s="1741"/>
      <c r="C85" s="1741"/>
      <c r="D85" s="1741"/>
      <c r="E85" s="1741"/>
      <c r="F85" s="1741"/>
      <c r="G85" s="1741"/>
      <c r="H85" s="1741"/>
      <c r="I85" s="1741"/>
      <c r="J85" s="1741"/>
      <c r="K85" s="1741"/>
      <c r="L85" s="1741"/>
      <c r="M85" s="1741"/>
    </row>
    <row r="86" spans="1:13" ht="15.6">
      <c r="A86" s="22"/>
      <c r="B86" s="22"/>
      <c r="C86" s="22"/>
      <c r="D86" s="22"/>
      <c r="E86" s="22"/>
      <c r="F86" s="22"/>
      <c r="G86" s="497"/>
      <c r="H86" s="22"/>
      <c r="I86" s="324" t="s">
        <v>537</v>
      </c>
      <c r="J86" s="498">
        <v>1.9</v>
      </c>
      <c r="K86" s="22" t="s">
        <v>536</v>
      </c>
      <c r="L86" s="22"/>
      <c r="M86" s="497"/>
    </row>
    <row r="87" spans="1:13" ht="15.6">
      <c r="A87" s="22" t="s">
        <v>535</v>
      </c>
      <c r="B87" s="22"/>
      <c r="C87" s="22"/>
      <c r="D87" s="22"/>
      <c r="E87" s="22"/>
      <c r="F87" s="22"/>
      <c r="G87" s="22"/>
      <c r="H87" s="22"/>
      <c r="I87" s="22"/>
      <c r="J87" s="341"/>
      <c r="K87" s="22"/>
      <c r="L87" s="22"/>
      <c r="M87" s="22"/>
    </row>
    <row r="88" spans="1:13" ht="16.2">
      <c r="A88" s="496" t="s">
        <v>64</v>
      </c>
      <c r="B88" s="342"/>
      <c r="C88" s="22"/>
      <c r="D88" s="22"/>
      <c r="E88" s="22"/>
      <c r="F88" s="22"/>
      <c r="G88" s="22"/>
      <c r="H88" s="22"/>
      <c r="I88" s="22"/>
      <c r="J88" s="341"/>
      <c r="K88" s="22"/>
      <c r="L88" s="22"/>
      <c r="M88" s="22"/>
    </row>
    <row r="89" spans="1:13" ht="15.6">
      <c r="A89" s="1"/>
      <c r="B89" s="1"/>
      <c r="C89" s="1"/>
      <c r="D89" s="1" t="s">
        <v>534</v>
      </c>
      <c r="E89" s="1"/>
      <c r="F89" s="1"/>
      <c r="G89" s="1"/>
      <c r="H89" s="1"/>
      <c r="I89" s="1"/>
      <c r="J89" s="192"/>
      <c r="K89" s="1"/>
      <c r="L89" s="1"/>
      <c r="M89" s="1"/>
    </row>
    <row r="90" spans="1:13" ht="15.6">
      <c r="A90" s="1" t="s">
        <v>533</v>
      </c>
      <c r="B90" s="1"/>
      <c r="C90" s="1"/>
      <c r="D90" s="495">
        <f>J86*E43/D43</f>
        <v>1.7642857142857142</v>
      </c>
      <c r="E90" s="493"/>
      <c r="F90" s="1"/>
      <c r="G90" s="1"/>
      <c r="H90" s="1"/>
      <c r="I90" s="1"/>
      <c r="J90" s="1"/>
      <c r="K90" s="1"/>
      <c r="L90" s="1"/>
      <c r="M90" s="1"/>
    </row>
    <row r="91" spans="1:13" ht="15.6">
      <c r="A91" s="1" t="s">
        <v>532</v>
      </c>
      <c r="B91" s="1"/>
      <c r="C91" s="1"/>
      <c r="D91" s="494">
        <f>B58*B12</f>
        <v>4554.5614261907804</v>
      </c>
      <c r="E91" s="192"/>
      <c r="F91" s="1"/>
      <c r="G91" s="1"/>
      <c r="H91" s="1"/>
      <c r="I91" s="1"/>
      <c r="J91" s="1"/>
      <c r="K91" s="1"/>
      <c r="L91" s="1"/>
      <c r="M91" s="1"/>
    </row>
    <row r="92" spans="1:13" ht="15.6">
      <c r="A92" s="1" t="s">
        <v>531</v>
      </c>
      <c r="B92" s="1"/>
      <c r="C92" s="1"/>
      <c r="D92" s="494">
        <f>D90*D91</f>
        <v>8035.5476590651624</v>
      </c>
      <c r="E92" s="493"/>
      <c r="F92" s="1"/>
      <c r="G92" s="1"/>
      <c r="H92" s="1"/>
      <c r="I92" s="1"/>
      <c r="J92" s="1"/>
      <c r="K92" s="1"/>
      <c r="L92" s="1"/>
      <c r="M92" s="1"/>
    </row>
    <row r="93" spans="1:13" ht="15.6">
      <c r="A93" s="1" t="s">
        <v>530</v>
      </c>
      <c r="B93" s="1"/>
      <c r="C93" s="1"/>
      <c r="D93" s="494">
        <f>(D92-D91)-(B39-B12)</f>
        <v>2296.986232874382</v>
      </c>
      <c r="E93" s="493"/>
      <c r="F93" s="1"/>
      <c r="G93" s="1"/>
      <c r="H93" s="1"/>
      <c r="I93" s="1"/>
      <c r="J93" s="1"/>
      <c r="K93" s="1"/>
      <c r="L93" s="1"/>
      <c r="M93" s="1"/>
    </row>
  </sheetData>
  <mergeCells count="18">
    <mergeCell ref="A42:C42"/>
    <mergeCell ref="A43:C43"/>
    <mergeCell ref="A84:M85"/>
    <mergeCell ref="A80:B80"/>
    <mergeCell ref="A81:B81"/>
    <mergeCell ref="A82:B82"/>
    <mergeCell ref="B5:G5"/>
    <mergeCell ref="B32:G32"/>
    <mergeCell ref="A63:B63"/>
    <mergeCell ref="A64:B64"/>
    <mergeCell ref="A79:B79"/>
    <mergeCell ref="A32:A33"/>
    <mergeCell ref="A68:M70"/>
    <mergeCell ref="A73:M75"/>
    <mergeCell ref="A5:A6"/>
    <mergeCell ref="A14:A15"/>
    <mergeCell ref="A23:A24"/>
    <mergeCell ref="A41:C4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
  <sheetViews>
    <sheetView workbookViewId="0"/>
  </sheetViews>
  <sheetFormatPr defaultRowHeight="14.4"/>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FECFA-230E-40C1-8471-2B2CF099E434}">
  <dimension ref="A1:N65"/>
  <sheetViews>
    <sheetView zoomScaleNormal="100" workbookViewId="0"/>
  </sheetViews>
  <sheetFormatPr defaultColWidth="8.6640625" defaultRowHeight="15.6"/>
  <cols>
    <col min="1" max="1" width="16.5546875" style="328" customWidth="1"/>
    <col min="2" max="8" width="15.6640625" style="328" customWidth="1"/>
    <col min="9" max="10" width="8.88671875" style="328" customWidth="1"/>
    <col min="11" max="12" width="11.6640625" style="328" customWidth="1"/>
    <col min="13" max="13" width="11.33203125" style="328" customWidth="1"/>
    <col min="14" max="16384" width="8.6640625" style="328"/>
  </cols>
  <sheetData>
    <row r="1" spans="1:14" ht="18" customHeight="1">
      <c r="A1" s="23" t="s">
        <v>494</v>
      </c>
      <c r="B1" s="497"/>
      <c r="C1" s="342" t="s">
        <v>38</v>
      </c>
      <c r="D1" s="22"/>
      <c r="E1" s="22"/>
      <c r="F1" s="22"/>
      <c r="G1" s="22"/>
      <c r="H1" s="22"/>
      <c r="I1" s="22"/>
      <c r="J1" s="22"/>
      <c r="K1" s="22"/>
      <c r="L1" s="22"/>
      <c r="M1" s="22"/>
      <c r="N1" s="1"/>
    </row>
    <row r="2" spans="1:14">
      <c r="A2" s="22"/>
      <c r="B2" s="22"/>
      <c r="C2" s="22"/>
      <c r="D2" s="22"/>
      <c r="E2" s="22"/>
      <c r="F2" s="22"/>
      <c r="G2" s="22"/>
      <c r="H2" s="22"/>
      <c r="I2" s="22"/>
      <c r="J2" s="22"/>
      <c r="K2" s="22"/>
      <c r="L2" s="22"/>
      <c r="M2" s="22"/>
    </row>
    <row r="3" spans="1:14">
      <c r="A3" s="1692" t="s">
        <v>629</v>
      </c>
      <c r="B3" s="1692"/>
      <c r="C3" s="1692"/>
      <c r="D3" s="1692"/>
      <c r="E3" s="1692"/>
      <c r="F3" s="1692"/>
      <c r="G3" s="1692"/>
      <c r="H3" s="1692"/>
      <c r="I3" s="1692"/>
      <c r="J3" s="1692"/>
      <c r="K3" s="1692"/>
      <c r="L3" s="1692"/>
      <c r="M3" s="1692"/>
    </row>
    <row r="4" spans="1:14">
      <c r="A4" s="524"/>
      <c r="B4" s="548"/>
      <c r="C4" s="547"/>
      <c r="D4" s="547"/>
      <c r="E4" s="547"/>
      <c r="F4" s="547"/>
      <c r="G4" s="547"/>
      <c r="H4" s="22"/>
      <c r="I4" s="22"/>
      <c r="J4" s="22"/>
      <c r="K4" s="22"/>
      <c r="L4" s="22"/>
      <c r="M4" s="22"/>
    </row>
    <row r="5" spans="1:14" ht="21" customHeight="1">
      <c r="A5" s="1759" t="s">
        <v>628</v>
      </c>
      <c r="B5" s="1761" t="s">
        <v>627</v>
      </c>
      <c r="C5" s="1761"/>
      <c r="D5" s="1761"/>
      <c r="E5" s="1761"/>
      <c r="F5" s="1761"/>
      <c r="G5" s="1761"/>
      <c r="H5" s="22"/>
      <c r="I5" s="22"/>
      <c r="J5" s="22"/>
      <c r="K5" s="22"/>
      <c r="L5" s="22"/>
      <c r="M5" s="22"/>
    </row>
    <row r="6" spans="1:14" ht="31.2">
      <c r="A6" s="1760"/>
      <c r="B6" s="370" t="s">
        <v>604</v>
      </c>
      <c r="C6" s="370" t="s">
        <v>603</v>
      </c>
      <c r="D6" s="370" t="s">
        <v>602</v>
      </c>
      <c r="E6" s="370" t="s">
        <v>601</v>
      </c>
      <c r="F6" s="370" t="s">
        <v>600</v>
      </c>
      <c r="G6" s="453" t="s">
        <v>626</v>
      </c>
      <c r="H6" s="22"/>
      <c r="I6" s="22"/>
      <c r="J6" s="22"/>
      <c r="K6" s="22"/>
      <c r="L6" s="22"/>
      <c r="M6" s="22"/>
    </row>
    <row r="7" spans="1:14">
      <c r="A7" s="557">
        <v>2018</v>
      </c>
      <c r="B7" s="555">
        <v>1.351</v>
      </c>
      <c r="C7" s="555">
        <v>1.052</v>
      </c>
      <c r="D7" s="555">
        <v>1.0209999999999999</v>
      </c>
      <c r="E7" s="555">
        <v>1.0049999999999999</v>
      </c>
      <c r="F7" s="555">
        <v>1.0009999999999999</v>
      </c>
      <c r="G7" s="555">
        <v>1</v>
      </c>
      <c r="H7" s="22"/>
      <c r="I7" s="22"/>
      <c r="J7" s="22"/>
      <c r="K7" s="22"/>
      <c r="L7" s="22"/>
      <c r="M7" s="22"/>
    </row>
    <row r="8" spans="1:14">
      <c r="A8" s="557">
        <v>2019</v>
      </c>
      <c r="B8" s="555">
        <v>1.34</v>
      </c>
      <c r="C8" s="555">
        <v>1.054</v>
      </c>
      <c r="D8" s="555">
        <v>1.02</v>
      </c>
      <c r="E8" s="555">
        <v>1.0049999999999999</v>
      </c>
      <c r="F8" s="555"/>
      <c r="G8" s="555"/>
      <c r="H8" s="22"/>
      <c r="I8" s="22"/>
      <c r="J8" s="22"/>
      <c r="K8" s="22"/>
      <c r="L8" s="22"/>
      <c r="M8" s="22"/>
    </row>
    <row r="9" spans="1:14">
      <c r="A9" s="557">
        <v>2020</v>
      </c>
      <c r="B9" s="555">
        <v>1.343</v>
      </c>
      <c r="C9" s="555">
        <v>1.0509999999999999</v>
      </c>
      <c r="D9" s="555">
        <v>1.02</v>
      </c>
      <c r="E9" s="555"/>
      <c r="F9" s="555"/>
      <c r="G9" s="555"/>
      <c r="H9" s="22"/>
      <c r="I9" s="22"/>
      <c r="J9" s="22"/>
      <c r="K9" s="22"/>
      <c r="L9" s="22"/>
      <c r="M9" s="22"/>
    </row>
    <row r="10" spans="1:14">
      <c r="A10" s="557">
        <v>2021</v>
      </c>
      <c r="B10" s="555">
        <v>1.36</v>
      </c>
      <c r="C10" s="555">
        <v>1.052</v>
      </c>
      <c r="D10" s="555"/>
      <c r="E10" s="555"/>
      <c r="F10" s="555"/>
      <c r="G10" s="555"/>
      <c r="H10" s="22"/>
      <c r="I10" s="22"/>
      <c r="J10" s="22"/>
      <c r="K10" s="22"/>
      <c r="L10" s="22"/>
      <c r="M10" s="22"/>
    </row>
    <row r="11" spans="1:14">
      <c r="A11" s="557">
        <v>2022</v>
      </c>
      <c r="B11" s="555">
        <v>1.365</v>
      </c>
      <c r="C11" s="555"/>
      <c r="D11" s="555"/>
      <c r="E11" s="555"/>
      <c r="F11" s="555"/>
      <c r="G11" s="555"/>
      <c r="H11" s="22"/>
      <c r="I11" s="22"/>
      <c r="J11" s="22"/>
      <c r="K11" s="22"/>
      <c r="L11" s="22"/>
      <c r="M11" s="22"/>
    </row>
    <row r="12" spans="1:14">
      <c r="A12" s="557" t="s">
        <v>625</v>
      </c>
      <c r="B12" s="555">
        <v>1.3518000000000001</v>
      </c>
      <c r="C12" s="555">
        <v>1.0522499999999999</v>
      </c>
      <c r="D12" s="555">
        <v>1.0203333333333333</v>
      </c>
      <c r="E12" s="555">
        <v>1.0049999999999999</v>
      </c>
      <c r="F12" s="555">
        <v>1.0009999999999999</v>
      </c>
      <c r="G12" s="555"/>
      <c r="H12" s="22"/>
      <c r="I12" s="22"/>
      <c r="J12" s="22"/>
      <c r="K12" s="22"/>
      <c r="L12" s="22"/>
      <c r="M12" s="22"/>
    </row>
    <row r="13" spans="1:14">
      <c r="A13" s="557"/>
      <c r="B13" s="556" t="s">
        <v>624</v>
      </c>
      <c r="C13" s="556" t="s">
        <v>623</v>
      </c>
      <c r="D13" s="556" t="s">
        <v>622</v>
      </c>
      <c r="E13" s="556" t="s">
        <v>621</v>
      </c>
      <c r="F13" s="556" t="s">
        <v>620</v>
      </c>
      <c r="G13" s="556" t="s">
        <v>553</v>
      </c>
      <c r="H13" s="22"/>
      <c r="I13" s="22"/>
      <c r="J13" s="22"/>
      <c r="K13" s="22"/>
      <c r="L13" s="22"/>
      <c r="M13" s="22"/>
    </row>
    <row r="14" spans="1:14">
      <c r="A14" s="355" t="s">
        <v>619</v>
      </c>
      <c r="B14" s="555">
        <v>1.4600697075707241</v>
      </c>
      <c r="C14" s="555">
        <v>1.0800929927287497</v>
      </c>
      <c r="D14" s="555">
        <v>1.0264604349999997</v>
      </c>
      <c r="E14" s="555">
        <v>1.0060049999999998</v>
      </c>
      <c r="F14" s="555">
        <v>1.0009999999999999</v>
      </c>
      <c r="G14" s="555">
        <v>1</v>
      </c>
      <c r="H14" s="552" t="s">
        <v>618</v>
      </c>
      <c r="I14" s="22"/>
      <c r="J14" s="22"/>
      <c r="K14" s="22"/>
      <c r="L14" s="22"/>
      <c r="M14" s="22"/>
    </row>
    <row r="15" spans="1:14">
      <c r="A15" s="8"/>
      <c r="B15" s="554"/>
      <c r="C15" s="554"/>
      <c r="D15" s="554"/>
      <c r="E15" s="554"/>
      <c r="F15" s="554"/>
      <c r="G15" s="554"/>
      <c r="H15" s="552"/>
      <c r="I15" s="22"/>
      <c r="J15" s="22"/>
      <c r="K15" s="22"/>
      <c r="L15" s="22"/>
      <c r="M15" s="22"/>
    </row>
    <row r="16" spans="1:14" ht="78">
      <c r="A16" s="387" t="s">
        <v>617</v>
      </c>
      <c r="B16" s="553" t="s">
        <v>616</v>
      </c>
      <c r="C16" s="553" t="s">
        <v>615</v>
      </c>
      <c r="D16" s="553" t="s">
        <v>614</v>
      </c>
      <c r="E16" s="553" t="s">
        <v>613</v>
      </c>
      <c r="F16" s="553" t="s">
        <v>612</v>
      </c>
      <c r="G16" s="553" t="s">
        <v>611</v>
      </c>
      <c r="H16" s="552"/>
      <c r="I16" s="22"/>
      <c r="J16" s="22"/>
      <c r="K16" s="22"/>
      <c r="L16" s="22"/>
      <c r="M16" s="22"/>
    </row>
    <row r="17" spans="1:13">
      <c r="A17" s="453" t="s">
        <v>610</v>
      </c>
      <c r="B17" s="551">
        <v>3055</v>
      </c>
      <c r="C17" s="551">
        <v>4231.5</v>
      </c>
      <c r="D17" s="551">
        <v>4120.4736000000003</v>
      </c>
      <c r="E17" s="551">
        <v>3167.3902919999996</v>
      </c>
      <c r="F17" s="551">
        <v>3047.6405467800005</v>
      </c>
      <c r="G17" s="551">
        <v>3649.5303431086486</v>
      </c>
      <c r="H17" s="22"/>
      <c r="I17" s="22"/>
      <c r="J17" s="22"/>
      <c r="K17" s="22"/>
      <c r="L17" s="22"/>
      <c r="M17" s="22"/>
    </row>
    <row r="18" spans="1:13">
      <c r="A18" s="453" t="s">
        <v>115</v>
      </c>
      <c r="B18" s="551">
        <v>4460.5129566285623</v>
      </c>
      <c r="C18" s="551">
        <v>4570.4134987317047</v>
      </c>
      <c r="D18" s="551">
        <v>4229.5031238620149</v>
      </c>
      <c r="E18" s="551">
        <v>3186.4104707034589</v>
      </c>
      <c r="F18" s="551">
        <v>3050.6881873267803</v>
      </c>
      <c r="G18" s="551">
        <v>3649.5303431086486</v>
      </c>
      <c r="H18" s="22"/>
      <c r="I18" s="22"/>
      <c r="J18" s="22"/>
      <c r="K18" s="22"/>
      <c r="L18" s="22"/>
      <c r="M18" s="22"/>
    </row>
    <row r="19" spans="1:13">
      <c r="A19" s="453" t="s">
        <v>471</v>
      </c>
      <c r="B19" s="551">
        <v>1405.5129566285623</v>
      </c>
      <c r="C19" s="551">
        <v>338.91349873170475</v>
      </c>
      <c r="D19" s="551">
        <v>109.02952386201468</v>
      </c>
      <c r="E19" s="551">
        <v>19.020178703459351</v>
      </c>
      <c r="F19" s="551">
        <v>3.0476405467798031</v>
      </c>
      <c r="G19" s="551">
        <v>0</v>
      </c>
      <c r="H19" s="22"/>
      <c r="I19" s="22"/>
      <c r="J19" s="22"/>
      <c r="K19" s="22"/>
      <c r="L19" s="22"/>
      <c r="M19" s="22"/>
    </row>
    <row r="20" spans="1:13">
      <c r="A20" s="376"/>
      <c r="B20" s="22"/>
      <c r="C20" s="22"/>
      <c r="D20" s="22"/>
      <c r="E20" s="22"/>
      <c r="F20" s="22"/>
      <c r="G20" s="22"/>
      <c r="H20" s="22"/>
      <c r="I20" s="22"/>
      <c r="J20" s="22"/>
      <c r="K20" s="22"/>
      <c r="L20" s="22"/>
      <c r="M20" s="22"/>
    </row>
    <row r="21" spans="1:13" ht="21" customHeight="1">
      <c r="A21" s="1752" t="s">
        <v>47</v>
      </c>
      <c r="B21" s="1707" t="s">
        <v>571</v>
      </c>
      <c r="C21" s="1709"/>
      <c r="D21" s="1708"/>
      <c r="E21" s="22"/>
      <c r="F21" s="22"/>
      <c r="G21" s="22"/>
      <c r="H21" s="22"/>
      <c r="I21" s="22"/>
      <c r="J21" s="22"/>
      <c r="K21" s="22"/>
      <c r="L21" s="22"/>
      <c r="M21" s="22"/>
    </row>
    <row r="22" spans="1:13">
      <c r="A22" s="1753"/>
      <c r="B22" s="546">
        <v>12</v>
      </c>
      <c r="C22" s="546">
        <v>24</v>
      </c>
      <c r="D22" s="546">
        <v>36</v>
      </c>
      <c r="E22" s="22"/>
      <c r="F22" s="22"/>
      <c r="G22" s="22"/>
      <c r="H22" s="22"/>
      <c r="I22" s="22"/>
      <c r="J22" s="22"/>
      <c r="K22" s="22"/>
      <c r="L22" s="22"/>
      <c r="M22" s="22"/>
    </row>
    <row r="23" spans="1:13">
      <c r="A23" s="530">
        <v>2021</v>
      </c>
      <c r="B23" s="550">
        <v>3870</v>
      </c>
      <c r="C23" s="550">
        <v>5805</v>
      </c>
      <c r="D23" s="550">
        <v>6211</v>
      </c>
      <c r="E23" s="22"/>
      <c r="F23" s="22"/>
      <c r="G23" s="22"/>
      <c r="H23" s="22"/>
      <c r="I23" s="22"/>
      <c r="J23" s="22"/>
      <c r="K23" s="22"/>
      <c r="L23" s="22"/>
      <c r="M23" s="22"/>
    </row>
    <row r="24" spans="1:13">
      <c r="A24" s="530">
        <v>2022</v>
      </c>
      <c r="B24" s="550">
        <v>4120</v>
      </c>
      <c r="C24" s="550">
        <v>7004</v>
      </c>
      <c r="D24" s="550"/>
      <c r="E24" s="22"/>
      <c r="F24" s="22"/>
      <c r="G24" s="22"/>
      <c r="H24" s="22"/>
      <c r="I24" s="22"/>
      <c r="J24" s="22"/>
      <c r="K24" s="22"/>
      <c r="L24" s="22"/>
      <c r="M24" s="22"/>
    </row>
    <row r="25" spans="1:13">
      <c r="A25" s="530">
        <v>2023</v>
      </c>
      <c r="B25" s="550">
        <v>4239</v>
      </c>
      <c r="C25" s="549"/>
      <c r="D25" s="549"/>
      <c r="E25" s="22"/>
      <c r="F25" s="22"/>
      <c r="G25" s="22"/>
      <c r="H25" s="22"/>
      <c r="I25" s="22"/>
      <c r="J25" s="22"/>
      <c r="K25" s="22"/>
      <c r="L25" s="22"/>
      <c r="M25" s="22"/>
    </row>
    <row r="26" spans="1:13">
      <c r="A26" s="524"/>
      <c r="B26" s="548"/>
      <c r="C26" s="547"/>
      <c r="D26" s="22"/>
      <c r="E26" s="22"/>
      <c r="F26" s="22"/>
      <c r="G26" s="22"/>
      <c r="H26" s="22"/>
      <c r="I26" s="22"/>
      <c r="J26" s="22"/>
      <c r="K26" s="22"/>
      <c r="L26" s="22"/>
      <c r="M26" s="22"/>
    </row>
    <row r="27" spans="1:13">
      <c r="A27" s="379" t="s">
        <v>609</v>
      </c>
      <c r="B27" s="548"/>
      <c r="C27" s="547"/>
      <c r="D27" s="22"/>
      <c r="E27" s="22"/>
      <c r="F27" s="22"/>
      <c r="G27" s="22"/>
      <c r="H27" s="22"/>
      <c r="I27" s="22"/>
      <c r="J27" s="22"/>
      <c r="K27" s="22"/>
      <c r="L27" s="22"/>
      <c r="M27" s="22"/>
    </row>
    <row r="28" spans="1:13">
      <c r="A28" s="379" t="s">
        <v>608</v>
      </c>
      <c r="B28" s="548"/>
      <c r="C28" s="547"/>
      <c r="D28" s="22"/>
      <c r="E28" s="22"/>
      <c r="F28" s="22"/>
      <c r="G28" s="22"/>
      <c r="H28" s="22"/>
      <c r="I28" s="22"/>
      <c r="J28" s="22"/>
      <c r="K28" s="22"/>
      <c r="L28" s="22"/>
      <c r="M28" s="22"/>
    </row>
    <row r="29" spans="1:13">
      <c r="A29" s="376"/>
      <c r="B29" s="22"/>
      <c r="C29" s="22"/>
      <c r="D29" s="22"/>
      <c r="E29" s="22"/>
      <c r="F29" s="22"/>
      <c r="G29" s="22"/>
      <c r="H29" s="22"/>
      <c r="I29" s="22"/>
      <c r="J29" s="22"/>
      <c r="K29" s="22"/>
      <c r="L29" s="22"/>
      <c r="M29" s="22"/>
    </row>
    <row r="30" spans="1:13" ht="16.2">
      <c r="A30" s="408" t="s">
        <v>607</v>
      </c>
      <c r="B30" s="22"/>
      <c r="C30" s="22"/>
      <c r="D30" s="22"/>
      <c r="E30" s="22"/>
      <c r="F30" s="22"/>
      <c r="G30" s="22"/>
      <c r="H30" s="342"/>
      <c r="I30" s="342"/>
      <c r="J30" s="341"/>
      <c r="K30" s="341"/>
      <c r="L30" s="341"/>
      <c r="M30" s="22"/>
    </row>
    <row r="31" spans="1:13" ht="16.2">
      <c r="A31" s="408"/>
      <c r="B31" s="22"/>
      <c r="C31" s="22"/>
      <c r="D31" s="22"/>
      <c r="E31" s="22"/>
      <c r="F31" s="22"/>
      <c r="G31" s="22"/>
      <c r="H31" s="342"/>
      <c r="I31" s="342"/>
      <c r="J31" s="341"/>
      <c r="K31" s="341"/>
      <c r="L31" s="341"/>
      <c r="M31" s="22"/>
    </row>
    <row r="32" spans="1:13" ht="16.2">
      <c r="A32" s="408" t="s">
        <v>606</v>
      </c>
      <c r="B32" s="22"/>
      <c r="C32" s="22"/>
      <c r="D32" s="22"/>
      <c r="E32" s="22"/>
      <c r="F32" s="22"/>
      <c r="G32" s="22"/>
      <c r="H32" s="342"/>
      <c r="I32" s="342"/>
      <c r="J32" s="341"/>
      <c r="K32" s="341"/>
      <c r="L32" s="341"/>
      <c r="M32" s="22"/>
    </row>
    <row r="33" spans="1:13" ht="16.2">
      <c r="A33" s="1754" t="s">
        <v>605</v>
      </c>
      <c r="B33" s="1754"/>
      <c r="C33" s="357" t="s">
        <v>604</v>
      </c>
      <c r="D33" s="357" t="s">
        <v>603</v>
      </c>
      <c r="E33" s="357" t="s">
        <v>602</v>
      </c>
      <c r="F33" s="357" t="s">
        <v>601</v>
      </c>
      <c r="G33" s="357" t="s">
        <v>600</v>
      </c>
      <c r="H33" s="546" t="s">
        <v>553</v>
      </c>
      <c r="I33" s="342"/>
      <c r="J33" s="341"/>
      <c r="K33" s="341"/>
      <c r="L33" s="341"/>
      <c r="M33" s="22"/>
    </row>
    <row r="34" spans="1:13" ht="16.2">
      <c r="A34" s="1757" t="s">
        <v>599</v>
      </c>
      <c r="B34" s="1757"/>
      <c r="C34" s="498">
        <v>0.79500000000000004</v>
      </c>
      <c r="D34" s="498">
        <v>0.69699999999999995</v>
      </c>
      <c r="E34" s="498">
        <v>0.67600000000000005</v>
      </c>
      <c r="F34" s="498">
        <v>0.65300000000000002</v>
      </c>
      <c r="G34" s="498">
        <v>0.63900000000000001</v>
      </c>
      <c r="H34" s="545">
        <v>0.62</v>
      </c>
      <c r="I34" s="342"/>
      <c r="J34" s="341"/>
      <c r="K34" s="341"/>
      <c r="L34" s="341"/>
      <c r="M34" s="22"/>
    </row>
    <row r="35" spans="1:13" ht="16.2">
      <c r="A35" s="1757" t="s">
        <v>598</v>
      </c>
      <c r="B35" s="1757"/>
      <c r="C35" s="498">
        <v>0.89300000000000002</v>
      </c>
      <c r="D35" s="498">
        <v>0.84499999999999997</v>
      </c>
      <c r="E35" s="498">
        <v>0.77500000000000002</v>
      </c>
      <c r="F35" s="498">
        <v>0.75800000000000001</v>
      </c>
      <c r="G35" s="498">
        <v>0.745</v>
      </c>
      <c r="H35" s="498">
        <v>0.73499999999999999</v>
      </c>
      <c r="I35" s="342"/>
      <c r="J35" s="341"/>
      <c r="K35" s="341"/>
      <c r="L35" s="341"/>
      <c r="M35" s="22"/>
    </row>
    <row r="36" spans="1:13" ht="16.2">
      <c r="A36" s="408"/>
      <c r="B36" s="22"/>
      <c r="C36" s="22"/>
      <c r="D36" s="22"/>
      <c r="E36" s="22"/>
      <c r="F36" s="22"/>
      <c r="G36" s="22"/>
      <c r="H36" s="342"/>
      <c r="I36" s="342"/>
      <c r="J36" s="341"/>
      <c r="K36" s="341"/>
      <c r="L36" s="341"/>
      <c r="M36" s="22"/>
    </row>
    <row r="37" spans="1:13">
      <c r="A37" s="319" t="s">
        <v>80</v>
      </c>
      <c r="B37" s="22" t="s">
        <v>597</v>
      </c>
      <c r="C37" s="22"/>
      <c r="D37" s="22"/>
      <c r="E37" s="22"/>
      <c r="F37" s="22"/>
      <c r="G37" s="22"/>
      <c r="H37" s="22"/>
      <c r="I37" s="22"/>
      <c r="J37" s="22"/>
      <c r="K37" s="22"/>
      <c r="L37" s="22"/>
      <c r="M37" s="22"/>
    </row>
    <row r="38" spans="1:13" ht="16.2">
      <c r="A38" s="342"/>
      <c r="B38" s="342" t="s">
        <v>64</v>
      </c>
      <c r="C38" s="342"/>
      <c r="D38" s="341"/>
      <c r="E38" s="341"/>
      <c r="F38" s="22"/>
      <c r="G38" s="22"/>
      <c r="H38" s="22"/>
      <c r="I38" s="22"/>
      <c r="J38" s="22"/>
      <c r="K38" s="22"/>
      <c r="L38" s="22"/>
      <c r="M38" s="22"/>
    </row>
    <row r="39" spans="1:13">
      <c r="A39" s="1"/>
      <c r="B39" s="1"/>
      <c r="C39" s="1"/>
      <c r="D39" s="1"/>
      <c r="E39" s="1"/>
      <c r="F39" s="1"/>
      <c r="G39" s="1"/>
      <c r="H39" s="1"/>
      <c r="I39" s="1"/>
      <c r="J39" s="1"/>
      <c r="K39" s="1"/>
      <c r="L39" s="1"/>
      <c r="M39" s="1"/>
    </row>
    <row r="40" spans="1:13">
      <c r="A40" s="538" t="s">
        <v>534</v>
      </c>
      <c r="B40" s="537"/>
      <c r="C40" s="36" t="s">
        <v>482</v>
      </c>
      <c r="D40" s="36" t="s">
        <v>481</v>
      </c>
      <c r="E40" s="285" t="s">
        <v>480</v>
      </c>
      <c r="F40" s="1"/>
      <c r="G40" s="1"/>
      <c r="H40" s="1"/>
      <c r="I40" s="1"/>
      <c r="J40" s="1"/>
      <c r="K40" s="1"/>
      <c r="L40" s="1"/>
      <c r="M40" s="1"/>
    </row>
    <row r="41" spans="1:13">
      <c r="A41" s="503" t="s">
        <v>596</v>
      </c>
      <c r="B41" s="537"/>
      <c r="C41" s="544">
        <f>B14*C34/$H34</f>
        <v>1.8721861572882674</v>
      </c>
      <c r="D41" s="544">
        <f>C14*D34/$H34</f>
        <v>1.2142335740837717</v>
      </c>
      <c r="E41" s="544">
        <f>D14*E34/$H34</f>
        <v>1.1191729904193546</v>
      </c>
      <c r="F41" s="1"/>
      <c r="G41" s="1"/>
      <c r="H41" s="1"/>
      <c r="I41" s="1"/>
      <c r="J41" s="1"/>
      <c r="K41" s="1"/>
      <c r="L41" s="1"/>
      <c r="M41" s="1"/>
    </row>
    <row r="42" spans="1:13">
      <c r="A42" s="503" t="s">
        <v>595</v>
      </c>
      <c r="B42" s="537"/>
      <c r="C42" s="544">
        <f>C41*$H35/C35</f>
        <v>1.5409370947445427</v>
      </c>
      <c r="D42" s="544">
        <f>D41*$H35/D35</f>
        <v>1.0561676650314464</v>
      </c>
      <c r="E42" s="544">
        <f>E41*$H35/E35</f>
        <v>1.0614092231719039</v>
      </c>
      <c r="F42" s="1"/>
      <c r="G42" s="1"/>
      <c r="H42" s="1"/>
      <c r="I42" s="1"/>
      <c r="J42" s="1"/>
      <c r="K42" s="1"/>
      <c r="L42" s="1"/>
      <c r="M42" s="1"/>
    </row>
    <row r="43" spans="1:13">
      <c r="A43" s="503" t="s">
        <v>594</v>
      </c>
      <c r="B43" s="537"/>
      <c r="C43" s="543">
        <f>(C42-1)*B25</f>
        <v>2293.0323446221164</v>
      </c>
      <c r="D43" s="543">
        <f>(D42-1)*C24</f>
        <v>393.39832588025081</v>
      </c>
      <c r="E43" s="543">
        <f>(E42-1)*D23</f>
        <v>381.41268512069507</v>
      </c>
      <c r="F43" s="1"/>
      <c r="G43" s="1"/>
      <c r="H43" s="1"/>
      <c r="I43" s="1"/>
      <c r="J43" s="1"/>
      <c r="K43" s="1"/>
      <c r="L43" s="1"/>
      <c r="M43" s="1"/>
    </row>
    <row r="44" spans="1:13">
      <c r="A44" s="1"/>
      <c r="B44" s="1"/>
      <c r="C44" s="36" t="s">
        <v>581</v>
      </c>
      <c r="D44" s="36" t="s">
        <v>580</v>
      </c>
      <c r="E44" s="36" t="s">
        <v>579</v>
      </c>
      <c r="F44" s="1"/>
      <c r="G44" s="1"/>
      <c r="H44" s="1"/>
      <c r="I44" s="1"/>
      <c r="J44" s="1"/>
      <c r="K44" s="1"/>
      <c r="L44" s="1"/>
      <c r="M44" s="1"/>
    </row>
    <row r="45" spans="1:13">
      <c r="A45" s="319" t="s">
        <v>9</v>
      </c>
      <c r="B45" s="22" t="s">
        <v>593</v>
      </c>
      <c r="C45" s="22"/>
      <c r="D45" s="22"/>
      <c r="E45" s="22"/>
      <c r="F45" s="22"/>
      <c r="G45" s="22"/>
      <c r="H45" s="22"/>
      <c r="I45" s="22"/>
      <c r="J45" s="22"/>
      <c r="K45" s="22"/>
      <c r="L45" s="22"/>
      <c r="M45" s="22"/>
    </row>
    <row r="46" spans="1:13" ht="16.2">
      <c r="A46" s="342"/>
      <c r="B46" s="342" t="s">
        <v>64</v>
      </c>
      <c r="C46" s="342"/>
      <c r="D46" s="341"/>
      <c r="E46" s="341"/>
      <c r="F46" s="22"/>
      <c r="G46" s="22"/>
      <c r="H46" s="22"/>
      <c r="I46" s="22"/>
      <c r="J46" s="22"/>
      <c r="K46" s="22"/>
      <c r="L46" s="22"/>
      <c r="M46" s="22"/>
    </row>
    <row r="47" spans="1:13" ht="25.2" customHeight="1">
      <c r="A47" s="1718" t="s">
        <v>592</v>
      </c>
      <c r="B47" s="1705"/>
      <c r="C47" s="1705"/>
      <c r="D47" s="1705"/>
      <c r="E47" s="1705"/>
      <c r="F47" s="1705"/>
      <c r="G47" s="1705"/>
      <c r="H47" s="1705"/>
      <c r="I47" s="1705"/>
      <c r="J47" s="1705"/>
      <c r="K47" s="1705"/>
      <c r="L47" s="1705"/>
      <c r="M47" s="1705"/>
    </row>
    <row r="48" spans="1:13" ht="25.2" customHeight="1">
      <c r="A48" s="1705"/>
      <c r="B48" s="1705"/>
      <c r="C48" s="1705"/>
      <c r="D48" s="1705"/>
      <c r="E48" s="1705"/>
      <c r="F48" s="1705"/>
      <c r="G48" s="1705"/>
      <c r="H48" s="1705"/>
      <c r="I48" s="1705"/>
      <c r="J48" s="1705"/>
      <c r="K48" s="1705"/>
      <c r="L48" s="1705"/>
      <c r="M48" s="1705"/>
    </row>
    <row r="49" spans="1:13" ht="25.2" customHeight="1">
      <c r="A49" s="1705"/>
      <c r="B49" s="1705"/>
      <c r="C49" s="1705"/>
      <c r="D49" s="1705"/>
      <c r="E49" s="1705"/>
      <c r="F49" s="1705"/>
      <c r="G49" s="1705"/>
      <c r="H49" s="1705"/>
      <c r="I49" s="1705"/>
      <c r="J49" s="1705"/>
      <c r="K49" s="1705"/>
      <c r="L49" s="1705"/>
      <c r="M49" s="1705"/>
    </row>
    <row r="50" spans="1:13" ht="16.2">
      <c r="A50" s="408" t="s">
        <v>591</v>
      </c>
      <c r="B50" s="22"/>
      <c r="C50" s="22"/>
      <c r="D50" s="22"/>
      <c r="E50" s="22"/>
      <c r="F50" s="22"/>
      <c r="G50" s="22"/>
      <c r="H50" s="342"/>
      <c r="I50" s="342"/>
      <c r="J50" s="341"/>
      <c r="K50" s="341"/>
      <c r="L50" s="341"/>
      <c r="M50" s="22"/>
    </row>
    <row r="51" spans="1:13" ht="16.2">
      <c r="A51" s="408"/>
      <c r="B51" s="22"/>
      <c r="C51" s="22"/>
      <c r="D51" s="22"/>
      <c r="E51" s="22"/>
      <c r="F51" s="22"/>
      <c r="G51" s="22"/>
      <c r="H51" s="342"/>
      <c r="I51" s="342"/>
      <c r="J51" s="341"/>
      <c r="K51" s="341"/>
      <c r="L51" s="341"/>
      <c r="M51" s="22"/>
    </row>
    <row r="52" spans="1:13" ht="16.2">
      <c r="A52" s="408" t="s">
        <v>590</v>
      </c>
      <c r="B52" s="22"/>
      <c r="C52" s="22"/>
      <c r="D52" s="22"/>
      <c r="E52" s="22"/>
      <c r="F52" s="22"/>
      <c r="G52" s="22"/>
      <c r="H52" s="342"/>
      <c r="I52" s="342"/>
      <c r="J52" s="341"/>
      <c r="K52" s="541"/>
      <c r="L52" s="540" t="s">
        <v>589</v>
      </c>
      <c r="M52" s="498">
        <v>1.58</v>
      </c>
    </row>
    <row r="53" spans="1:13">
      <c r="A53" s="379" t="s">
        <v>588</v>
      </c>
      <c r="B53" s="408"/>
      <c r="C53" s="22"/>
      <c r="D53" s="22"/>
      <c r="E53" s="22"/>
      <c r="F53" s="22"/>
      <c r="G53" s="22"/>
      <c r="H53" s="497"/>
      <c r="I53" s="497"/>
      <c r="J53" s="22"/>
      <c r="K53" s="541"/>
      <c r="L53" s="540" t="s">
        <v>587</v>
      </c>
      <c r="M53" s="542">
        <v>44197</v>
      </c>
    </row>
    <row r="54" spans="1:13">
      <c r="A54" s="379" t="s">
        <v>586</v>
      </c>
      <c r="B54" s="408"/>
      <c r="C54" s="22"/>
      <c r="D54" s="22"/>
      <c r="E54" s="22"/>
      <c r="F54" s="22"/>
      <c r="G54" s="22"/>
      <c r="H54" s="497"/>
      <c r="I54" s="497"/>
      <c r="J54" s="22"/>
      <c r="K54" s="541"/>
      <c r="L54" s="540" t="s">
        <v>585</v>
      </c>
      <c r="M54" s="539">
        <v>1.7999999999999999E-2</v>
      </c>
    </row>
    <row r="55" spans="1:13">
      <c r="A55" s="379" t="s">
        <v>584</v>
      </c>
      <c r="B55" s="408"/>
      <c r="C55" s="22"/>
      <c r="D55" s="22"/>
      <c r="E55" s="22"/>
      <c r="F55" s="22"/>
      <c r="G55" s="22"/>
      <c r="H55" s="497"/>
      <c r="I55" s="497"/>
      <c r="J55" s="22"/>
      <c r="K55" s="541"/>
      <c r="L55" s="540" t="s">
        <v>583</v>
      </c>
      <c r="M55" s="539">
        <v>2.7E-2</v>
      </c>
    </row>
    <row r="56" spans="1:13">
      <c r="A56" s="408"/>
      <c r="B56" s="408"/>
      <c r="C56" s="22"/>
      <c r="D56" s="22"/>
      <c r="E56" s="22"/>
      <c r="F56" s="22"/>
      <c r="G56" s="22"/>
      <c r="H56" s="497"/>
      <c r="I56" s="497"/>
      <c r="J56" s="22"/>
      <c r="K56" s="22"/>
      <c r="L56" s="22"/>
      <c r="M56" s="22"/>
    </row>
    <row r="57" spans="1:13">
      <c r="A57" s="319" t="s">
        <v>7</v>
      </c>
      <c r="B57" s="22" t="s">
        <v>582</v>
      </c>
      <c r="C57" s="22"/>
      <c r="D57" s="22"/>
      <c r="E57" s="22"/>
      <c r="F57" s="22"/>
      <c r="G57" s="22"/>
      <c r="H57" s="22"/>
      <c r="I57" s="22"/>
      <c r="J57" s="22"/>
      <c r="K57" s="22"/>
      <c r="L57" s="22"/>
      <c r="M57" s="22"/>
    </row>
    <row r="58" spans="1:13" ht="16.2">
      <c r="A58" s="342"/>
      <c r="B58" s="342" t="s">
        <v>64</v>
      </c>
      <c r="C58" s="342"/>
      <c r="D58" s="341"/>
      <c r="E58" s="341"/>
      <c r="F58" s="22"/>
      <c r="G58" s="22"/>
      <c r="H58" s="22"/>
      <c r="I58" s="22"/>
      <c r="J58" s="22"/>
      <c r="K58" s="22"/>
      <c r="L58" s="22"/>
      <c r="M58" s="22"/>
    </row>
    <row r="60" spans="1:13">
      <c r="A60" s="538" t="s">
        <v>534</v>
      </c>
      <c r="B60" s="537"/>
      <c r="C60" s="36" t="s">
        <v>581</v>
      </c>
      <c r="D60" s="36" t="s">
        <v>580</v>
      </c>
      <c r="E60" s="36" t="s">
        <v>579</v>
      </c>
    </row>
    <row r="61" spans="1:13" ht="16.2" customHeight="1">
      <c r="A61" s="503" t="s">
        <v>578</v>
      </c>
      <c r="B61" s="536">
        <f>(1+M55)/(1+M54)-1</f>
        <v>8.8408644400785885E-3</v>
      </c>
      <c r="C61" s="535"/>
      <c r="D61" s="9"/>
      <c r="E61" s="9"/>
    </row>
    <row r="62" spans="1:13" ht="15.6" customHeight="1">
      <c r="A62" s="1756" t="s">
        <v>577</v>
      </c>
      <c r="B62" s="1758"/>
      <c r="C62" s="9">
        <v>2.5</v>
      </c>
      <c r="D62" s="9">
        <v>1.5</v>
      </c>
      <c r="E62" s="9">
        <v>0.5</v>
      </c>
    </row>
    <row r="63" spans="1:13">
      <c r="A63" s="1756" t="s">
        <v>576</v>
      </c>
      <c r="B63" s="1756"/>
      <c r="C63" s="534">
        <f>(1+$B$61)^C62*$M$52</f>
        <v>1.6151533069673303</v>
      </c>
      <c r="D63" s="534">
        <f>(1+$B$61)^D62*$M$52</f>
        <v>1.6009990910348024</v>
      </c>
      <c r="E63" s="534">
        <f>(1+$B$61)^E62*$M$52</f>
        <v>1.586968913995549</v>
      </c>
    </row>
    <row r="64" spans="1:13" ht="15.6" customHeight="1">
      <c r="A64" s="1756" t="s">
        <v>575</v>
      </c>
      <c r="B64" s="1756"/>
      <c r="C64" s="506">
        <f>C63*B18</f>
        <v>7204.4122526692463</v>
      </c>
      <c r="D64" s="506">
        <f>D63*C18</f>
        <v>7317.2278571226507</v>
      </c>
      <c r="E64" s="506">
        <f>E63*D18</f>
        <v>6712.0899792160835</v>
      </c>
    </row>
    <row r="65" spans="1:5" ht="15.6" customHeight="1">
      <c r="A65" s="1756" t="s">
        <v>574</v>
      </c>
      <c r="B65" s="1756"/>
      <c r="C65" s="501">
        <f>C64-B25</f>
        <v>2965.4122526692463</v>
      </c>
      <c r="D65" s="501">
        <f>D64-C24</f>
        <v>313.22785712265068</v>
      </c>
      <c r="E65" s="501">
        <f>E64-D23</f>
        <v>501.08997921608352</v>
      </c>
    </row>
  </sheetData>
  <mergeCells count="13">
    <mergeCell ref="A33:B33"/>
    <mergeCell ref="A3:M3"/>
    <mergeCell ref="A5:A6"/>
    <mergeCell ref="B5:G5"/>
    <mergeCell ref="A21:A22"/>
    <mergeCell ref="B21:D21"/>
    <mergeCell ref="A65:B65"/>
    <mergeCell ref="A34:B34"/>
    <mergeCell ref="A35:B35"/>
    <mergeCell ref="A47:M49"/>
    <mergeCell ref="A62:B62"/>
    <mergeCell ref="A63:B63"/>
    <mergeCell ref="A64:B6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B2BE9-9195-4FAB-BD3A-C10B0BC44B5A}">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55702-9E23-4067-95AA-CF53840D3A8D}">
  <dimension ref="A1:R53"/>
  <sheetViews>
    <sheetView zoomScaleNormal="100" workbookViewId="0"/>
  </sheetViews>
  <sheetFormatPr defaultColWidth="8.88671875" defaultRowHeight="15.6"/>
  <cols>
    <col min="1" max="1" width="8.88671875" style="1" customWidth="1"/>
    <col min="2" max="2" width="17.77734375" style="1" customWidth="1"/>
    <col min="3" max="3" width="19.33203125" style="1" customWidth="1"/>
    <col min="4" max="5" width="15.77734375" style="1" customWidth="1"/>
    <col min="6" max="7" width="11.77734375" style="1" customWidth="1"/>
    <col min="8" max="8" width="8.88671875" style="1" customWidth="1"/>
    <col min="9" max="16384" width="8.88671875" style="1"/>
  </cols>
  <sheetData>
    <row r="1" spans="1:12" ht="17.399999999999999">
      <c r="A1" s="23" t="s">
        <v>669</v>
      </c>
      <c r="B1" s="22"/>
      <c r="C1" s="22" t="s">
        <v>668</v>
      </c>
      <c r="D1" s="22"/>
      <c r="E1" s="22"/>
      <c r="F1" s="22"/>
      <c r="G1" s="22"/>
      <c r="H1" s="22"/>
      <c r="I1" s="22"/>
      <c r="J1" s="22"/>
      <c r="K1" s="22"/>
      <c r="L1" s="2"/>
    </row>
    <row r="2" spans="1:12">
      <c r="A2" s="22"/>
      <c r="B2" s="22"/>
      <c r="C2" s="22"/>
      <c r="D2" s="22"/>
      <c r="E2" s="22"/>
      <c r="F2" s="22"/>
      <c r="G2" s="22"/>
      <c r="H2" s="22"/>
      <c r="I2" s="22"/>
      <c r="J2" s="22"/>
      <c r="K2" s="22"/>
      <c r="L2" s="2"/>
    </row>
    <row r="3" spans="1:12">
      <c r="A3" s="2"/>
      <c r="B3" s="2"/>
      <c r="C3" s="2"/>
      <c r="D3" s="2"/>
      <c r="E3" s="2"/>
      <c r="F3" s="2"/>
      <c r="G3" s="2"/>
      <c r="H3" s="2"/>
      <c r="I3" s="2"/>
      <c r="J3" s="2"/>
      <c r="K3" s="2"/>
      <c r="L3" s="2"/>
    </row>
    <row r="4" spans="1:12">
      <c r="A4" s="341" t="s">
        <v>667</v>
      </c>
      <c r="B4" s="2"/>
      <c r="C4" s="2"/>
      <c r="D4" s="2"/>
      <c r="E4" s="2"/>
      <c r="F4" s="2"/>
      <c r="G4" s="2"/>
      <c r="H4" s="2"/>
      <c r="I4" s="2"/>
      <c r="J4" s="2"/>
      <c r="K4" s="2"/>
      <c r="L4" s="2"/>
    </row>
    <row r="5" spans="1:12">
      <c r="A5" s="418"/>
      <c r="B5" s="418"/>
      <c r="C5" s="418"/>
      <c r="D5" s="418"/>
      <c r="E5" s="418"/>
      <c r="F5" s="418"/>
      <c r="G5" s="418"/>
      <c r="H5" s="418"/>
      <c r="I5" s="418"/>
      <c r="J5" s="418"/>
      <c r="K5" s="418"/>
      <c r="L5" s="418"/>
    </row>
    <row r="6" spans="1:12">
      <c r="A6" s="341" t="s">
        <v>666</v>
      </c>
      <c r="B6" s="2"/>
      <c r="C6" s="2"/>
      <c r="D6" s="2"/>
      <c r="E6" s="2"/>
      <c r="F6" s="2"/>
      <c r="G6" s="2"/>
      <c r="H6" s="2"/>
      <c r="I6" s="2"/>
      <c r="J6" s="2"/>
      <c r="K6" s="2"/>
      <c r="L6" s="2"/>
    </row>
    <row r="7" spans="1:12">
      <c r="A7" s="418"/>
      <c r="B7" s="418"/>
      <c r="C7" s="418"/>
      <c r="D7" s="418"/>
      <c r="E7" s="418"/>
      <c r="F7" s="418"/>
      <c r="G7" s="418"/>
      <c r="H7" s="418"/>
      <c r="I7" s="418"/>
      <c r="J7" s="418"/>
      <c r="K7" s="418"/>
      <c r="L7" s="418"/>
    </row>
    <row r="8" spans="1:12">
      <c r="A8" s="341" t="s">
        <v>665</v>
      </c>
      <c r="B8" s="2"/>
      <c r="C8" s="2"/>
      <c r="D8" s="2"/>
      <c r="E8" s="2"/>
      <c r="F8" s="2"/>
      <c r="G8" s="2"/>
      <c r="H8" s="2"/>
      <c r="I8" s="2"/>
      <c r="J8" s="2"/>
      <c r="K8" s="2"/>
      <c r="L8" s="2"/>
    </row>
    <row r="9" spans="1:12">
      <c r="A9" s="418"/>
      <c r="B9" s="418"/>
      <c r="C9" s="418"/>
      <c r="D9" s="418"/>
      <c r="E9" s="418"/>
      <c r="F9" s="418"/>
      <c r="G9" s="418"/>
      <c r="H9" s="418"/>
      <c r="I9" s="418"/>
      <c r="J9" s="418"/>
      <c r="K9" s="418"/>
      <c r="L9" s="418"/>
    </row>
    <row r="10" spans="1:12">
      <c r="A10" s="1724" t="s">
        <v>664</v>
      </c>
      <c r="B10" s="1764"/>
      <c r="C10" s="1764"/>
      <c r="D10" s="1764"/>
      <c r="E10" s="1764"/>
      <c r="F10" s="1764"/>
      <c r="G10" s="1764"/>
      <c r="H10" s="1764"/>
      <c r="I10" s="1764"/>
      <c r="J10" s="1764"/>
      <c r="K10" s="1764"/>
      <c r="L10" s="1764"/>
    </row>
    <row r="11" spans="1:12">
      <c r="A11" s="1764"/>
      <c r="B11" s="1764"/>
      <c r="C11" s="1764"/>
      <c r="D11" s="1764"/>
      <c r="E11" s="1764"/>
      <c r="F11" s="1764"/>
      <c r="G11" s="1764"/>
      <c r="H11" s="1764"/>
      <c r="I11" s="1764"/>
      <c r="J11" s="1764"/>
      <c r="K11" s="1764"/>
      <c r="L11" s="1764"/>
    </row>
    <row r="12" spans="1:12">
      <c r="A12" s="22"/>
      <c r="B12" s="22"/>
      <c r="C12" s="22"/>
      <c r="D12" s="22"/>
      <c r="E12" s="22"/>
      <c r="F12" s="22"/>
      <c r="G12" s="22"/>
      <c r="H12" s="22"/>
      <c r="I12" s="22"/>
      <c r="J12" s="22"/>
      <c r="K12" s="22"/>
      <c r="L12" s="2"/>
    </row>
    <row r="13" spans="1:12" ht="31.2" customHeight="1">
      <c r="A13" s="22"/>
      <c r="B13" s="1765" t="s">
        <v>663</v>
      </c>
      <c r="C13" s="1765"/>
      <c r="D13" s="1751" t="s">
        <v>662</v>
      </c>
      <c r="E13" s="1751"/>
      <c r="F13" s="1751" t="s">
        <v>661</v>
      </c>
      <c r="G13" s="1751"/>
      <c r="H13" s="22"/>
      <c r="I13" s="22"/>
      <c r="J13" s="22"/>
      <c r="K13" s="22"/>
      <c r="L13" s="2"/>
    </row>
    <row r="14" spans="1:12" ht="15.6" customHeight="1">
      <c r="A14" s="22"/>
      <c r="B14" s="1757" t="s">
        <v>660</v>
      </c>
      <c r="C14" s="1757"/>
      <c r="D14" s="1762">
        <v>1305</v>
      </c>
      <c r="E14" s="1762"/>
      <c r="F14" s="1763">
        <v>0.82</v>
      </c>
      <c r="G14" s="1763"/>
      <c r="H14" s="22"/>
      <c r="I14" s="22"/>
      <c r="J14" s="22"/>
      <c r="K14" s="22"/>
      <c r="L14" s="2"/>
    </row>
    <row r="15" spans="1:12">
      <c r="A15" s="22"/>
      <c r="B15" s="1757" t="s">
        <v>645</v>
      </c>
      <c r="C15" s="1757"/>
      <c r="D15" s="1762">
        <v>1539</v>
      </c>
      <c r="E15" s="1762"/>
      <c r="F15" s="1763">
        <v>0.56000000000000005</v>
      </c>
      <c r="G15" s="1763"/>
      <c r="H15" s="22"/>
      <c r="I15" s="22"/>
      <c r="J15" s="22"/>
      <c r="K15" s="22"/>
      <c r="L15" s="2"/>
    </row>
    <row r="16" spans="1:12">
      <c r="A16" s="22"/>
      <c r="B16" s="1757" t="s">
        <v>659</v>
      </c>
      <c r="C16" s="1757"/>
      <c r="D16" s="1762">
        <v>1244</v>
      </c>
      <c r="E16" s="1762"/>
      <c r="F16" s="1763">
        <v>0.79</v>
      </c>
      <c r="G16" s="1763"/>
      <c r="H16" s="22"/>
      <c r="I16" s="22"/>
      <c r="J16" s="22"/>
      <c r="K16" s="22"/>
      <c r="L16" s="2"/>
    </row>
    <row r="17" spans="1:18">
      <c r="A17" s="22"/>
      <c r="B17" s="22"/>
      <c r="C17" s="22"/>
      <c r="D17" s="22"/>
      <c r="E17" s="22"/>
      <c r="F17" s="22"/>
      <c r="G17" s="22"/>
      <c r="H17" s="22"/>
      <c r="I17" s="22"/>
      <c r="J17" s="22"/>
      <c r="K17" s="22"/>
      <c r="L17" s="2"/>
    </row>
    <row r="18" spans="1:18">
      <c r="A18" s="22"/>
      <c r="B18" s="578" t="s">
        <v>653</v>
      </c>
      <c r="C18" s="22" t="s">
        <v>658</v>
      </c>
      <c r="D18" s="22"/>
      <c r="E18" s="22"/>
      <c r="F18" s="22"/>
      <c r="G18" s="22"/>
      <c r="H18" s="22"/>
      <c r="I18" s="22"/>
      <c r="J18" s="22"/>
      <c r="K18" s="22"/>
      <c r="L18" s="2"/>
    </row>
    <row r="19" spans="1:18">
      <c r="A19" s="22"/>
      <c r="B19" s="578" t="s">
        <v>653</v>
      </c>
      <c r="C19" s="22" t="s">
        <v>657</v>
      </c>
      <c r="D19" s="22"/>
      <c r="E19" s="22"/>
      <c r="F19" s="22"/>
      <c r="G19" s="22"/>
      <c r="H19" s="22"/>
      <c r="I19" s="22"/>
      <c r="J19" s="22"/>
      <c r="K19" s="22"/>
      <c r="L19" s="2"/>
    </row>
    <row r="20" spans="1:18">
      <c r="A20" s="22"/>
      <c r="B20" s="578" t="s">
        <v>653</v>
      </c>
      <c r="C20" s="22" t="s">
        <v>656</v>
      </c>
      <c r="D20" s="22"/>
      <c r="E20" s="22"/>
      <c r="F20" s="22"/>
      <c r="G20" s="22"/>
      <c r="H20" s="22"/>
      <c r="I20" s="22"/>
      <c r="J20" s="22"/>
      <c r="K20" s="22"/>
      <c r="L20" s="2"/>
    </row>
    <row r="21" spans="1:18">
      <c r="A21" s="22"/>
      <c r="B21" s="578" t="s">
        <v>653</v>
      </c>
      <c r="C21" s="22" t="s">
        <v>655</v>
      </c>
      <c r="D21" s="22"/>
      <c r="E21" s="22"/>
      <c r="F21" s="22"/>
      <c r="G21" s="22"/>
      <c r="H21" s="22"/>
      <c r="I21" s="22"/>
      <c r="J21" s="22"/>
      <c r="K21" s="22"/>
      <c r="L21" s="2"/>
    </row>
    <row r="22" spans="1:18">
      <c r="A22" s="22"/>
      <c r="B22" s="578" t="s">
        <v>653</v>
      </c>
      <c r="C22" s="22" t="s">
        <v>654</v>
      </c>
      <c r="D22" s="22"/>
      <c r="E22" s="22"/>
      <c r="F22" s="22"/>
      <c r="G22" s="22"/>
      <c r="H22" s="22"/>
      <c r="I22" s="22"/>
      <c r="J22" s="22"/>
      <c r="K22" s="22"/>
      <c r="L22" s="2"/>
    </row>
    <row r="23" spans="1:18">
      <c r="A23" s="22"/>
      <c r="B23" s="578" t="s">
        <v>653</v>
      </c>
      <c r="C23" s="22" t="s">
        <v>652</v>
      </c>
      <c r="D23" s="22"/>
      <c r="E23" s="22"/>
      <c r="F23" s="22"/>
      <c r="G23" s="22"/>
      <c r="H23" s="22"/>
      <c r="I23" s="22"/>
      <c r="J23" s="22"/>
      <c r="K23" s="22"/>
      <c r="L23" s="2"/>
    </row>
    <row r="24" spans="1:18">
      <c r="A24" s="22"/>
      <c r="B24" s="22"/>
      <c r="C24" s="22"/>
      <c r="D24" s="22"/>
      <c r="E24" s="22"/>
      <c r="F24" s="22"/>
      <c r="G24" s="22"/>
      <c r="H24" s="22"/>
      <c r="I24" s="22"/>
      <c r="J24" s="22"/>
      <c r="K24" s="22"/>
      <c r="L24" s="22"/>
    </row>
    <row r="25" spans="1:18">
      <c r="A25" s="418"/>
      <c r="B25" s="418"/>
      <c r="C25" s="418"/>
      <c r="D25" s="418"/>
      <c r="E25" s="418"/>
      <c r="F25" s="418"/>
      <c r="G25" s="418"/>
      <c r="H25" s="418"/>
      <c r="I25" s="418"/>
      <c r="J25" s="418"/>
      <c r="K25" s="418"/>
      <c r="L25" s="418"/>
    </row>
    <row r="26" spans="1:18">
      <c r="A26" s="577" t="s">
        <v>4</v>
      </c>
      <c r="B26" s="22" t="s">
        <v>651</v>
      </c>
      <c r="C26" s="22"/>
      <c r="D26" s="22"/>
      <c r="E26" s="22"/>
      <c r="F26" s="22"/>
      <c r="G26" s="22"/>
      <c r="H26" s="22"/>
      <c r="I26" s="22"/>
      <c r="J26" s="22"/>
      <c r="K26" s="22"/>
      <c r="L26" s="22"/>
      <c r="M26" s="328"/>
      <c r="N26" s="328"/>
      <c r="O26" s="328"/>
      <c r="P26" s="328"/>
      <c r="Q26" s="328"/>
      <c r="R26" s="328"/>
    </row>
    <row r="27" spans="1:18">
      <c r="A27" s="2"/>
      <c r="B27" s="2"/>
      <c r="C27" s="2"/>
      <c r="D27" s="2"/>
      <c r="E27" s="2"/>
      <c r="F27" s="2"/>
      <c r="G27" s="22"/>
      <c r="H27" s="22"/>
      <c r="I27" s="22"/>
      <c r="J27" s="22"/>
      <c r="K27" s="22"/>
      <c r="L27" s="22"/>
    </row>
    <row r="28" spans="1:18">
      <c r="A28" s="37"/>
      <c r="B28" s="37"/>
      <c r="C28" s="37"/>
      <c r="D28" s="37"/>
      <c r="E28" s="37"/>
      <c r="F28" s="37"/>
      <c r="G28" s="37"/>
      <c r="H28" s="37"/>
      <c r="I28" s="37"/>
      <c r="J28" s="37"/>
      <c r="K28" s="37"/>
      <c r="L28" s="37"/>
      <c r="M28" s="37"/>
    </row>
    <row r="29" spans="1:18">
      <c r="A29" s="37" t="s">
        <v>650</v>
      </c>
      <c r="B29" s="37"/>
      <c r="C29" s="37"/>
      <c r="D29" s="37"/>
      <c r="E29" s="37"/>
      <c r="F29" s="37"/>
      <c r="G29" s="37"/>
      <c r="H29" s="37"/>
      <c r="I29" s="37"/>
      <c r="J29" s="37"/>
      <c r="K29" s="37"/>
      <c r="L29" s="37"/>
      <c r="M29" s="37"/>
      <c r="N29" s="328"/>
    </row>
    <row r="30" spans="1:18">
      <c r="G30"/>
      <c r="H30"/>
      <c r="J30"/>
      <c r="M30" s="328"/>
      <c r="N30" s="328"/>
    </row>
    <row r="31" spans="1:18" ht="46.8">
      <c r="B31" s="576" t="s">
        <v>649</v>
      </c>
      <c r="C31" s="565" t="s">
        <v>648</v>
      </c>
      <c r="D31" s="565" t="s">
        <v>647</v>
      </c>
      <c r="E31" s="37"/>
      <c r="G31"/>
      <c r="H31"/>
      <c r="J31"/>
      <c r="M31" s="328"/>
      <c r="N31" s="328"/>
    </row>
    <row r="32" spans="1:18">
      <c r="B32" s="571" t="s">
        <v>646</v>
      </c>
      <c r="C32" s="575">
        <f>ROUND(E37*D14,1)</f>
        <v>870</v>
      </c>
      <c r="D32" s="574">
        <f>ROUND(C32*F14,1)</f>
        <v>713.4</v>
      </c>
      <c r="E32" s="37"/>
      <c r="G32"/>
      <c r="H32"/>
      <c r="J32"/>
    </row>
    <row r="33" spans="2:10">
      <c r="B33" s="571" t="s">
        <v>645</v>
      </c>
      <c r="C33" s="574">
        <f>ROUND(E37*D15,1)</f>
        <v>1026</v>
      </c>
      <c r="D33" s="574">
        <f>ROUND(C33*F15,1)</f>
        <v>574.6</v>
      </c>
      <c r="E33" s="37"/>
      <c r="G33"/>
      <c r="H33"/>
      <c r="J33"/>
    </row>
    <row r="34" spans="2:10">
      <c r="B34" s="573" t="s">
        <v>644</v>
      </c>
      <c r="C34" s="572">
        <f>ROUND(E37*D16,1)</f>
        <v>829.3</v>
      </c>
      <c r="D34" s="572">
        <f>ROUND(C34*F16,1)</f>
        <v>655.1</v>
      </c>
      <c r="E34" s="37"/>
      <c r="G34"/>
      <c r="H34"/>
      <c r="J34"/>
    </row>
    <row r="35" spans="2:10">
      <c r="B35" s="571" t="s">
        <v>643</v>
      </c>
      <c r="C35" s="570">
        <f>ROUND(SUM(C32:C34),0)</f>
        <v>2725</v>
      </c>
      <c r="D35" s="570">
        <f>ROUND(SUM(D32:D34),0)</f>
        <v>1943</v>
      </c>
      <c r="E35" s="37"/>
      <c r="G35"/>
      <c r="H35"/>
      <c r="J35"/>
    </row>
    <row r="36" spans="2:10">
      <c r="B36" s="87"/>
      <c r="C36" s="87"/>
      <c r="D36" s="37"/>
      <c r="E36" s="37"/>
      <c r="J36"/>
    </row>
    <row r="37" spans="2:10">
      <c r="B37" s="1" t="s">
        <v>642</v>
      </c>
      <c r="E37" s="177">
        <f>8/12</f>
        <v>0.66666666666666663</v>
      </c>
      <c r="H37"/>
      <c r="I37"/>
      <c r="J37"/>
    </row>
    <row r="38" spans="2:10">
      <c r="H38"/>
      <c r="I38"/>
      <c r="J38"/>
    </row>
    <row r="39" spans="2:10">
      <c r="B39" s="569" t="s">
        <v>641</v>
      </c>
      <c r="C39" s="569"/>
      <c r="D39" s="569"/>
      <c r="E39" s="567">
        <f>D35*0.129</f>
        <v>250.64700000000002</v>
      </c>
      <c r="F39" s="568"/>
      <c r="G39"/>
      <c r="I39"/>
    </row>
    <row r="40" spans="2:10">
      <c r="B40" s="1" t="s">
        <v>640</v>
      </c>
      <c r="E40" s="567">
        <f>E39</f>
        <v>250.64700000000002</v>
      </c>
      <c r="G40"/>
      <c r="I40"/>
    </row>
    <row r="41" spans="2:10">
      <c r="G41" s="566"/>
      <c r="H41"/>
      <c r="I41"/>
      <c r="J41"/>
    </row>
    <row r="42" spans="2:10" ht="31.2">
      <c r="C42"/>
      <c r="D42" s="565" t="s">
        <v>639</v>
      </c>
      <c r="E42" s="565" t="s">
        <v>638</v>
      </c>
      <c r="H42"/>
      <c r="I42"/>
      <c r="J42"/>
    </row>
    <row r="43" spans="2:10">
      <c r="B43" s="561" t="s">
        <v>637</v>
      </c>
      <c r="C43"/>
      <c r="D43" s="562">
        <f>C35</f>
        <v>2725</v>
      </c>
      <c r="E43" s="564">
        <f>D43*(1-0.25)</f>
        <v>2043.75</v>
      </c>
      <c r="H43"/>
      <c r="I43"/>
      <c r="J43"/>
    </row>
    <row r="44" spans="2:10">
      <c r="B44" s="561" t="s">
        <v>636</v>
      </c>
      <c r="C44"/>
      <c r="D44" s="562">
        <f>D35</f>
        <v>1943</v>
      </c>
      <c r="E44" s="563">
        <f>D44*(1-0.25)</f>
        <v>1457.25</v>
      </c>
      <c r="H44"/>
      <c r="I44"/>
      <c r="J44"/>
    </row>
    <row r="45" spans="2:10">
      <c r="B45" s="561" t="s">
        <v>635</v>
      </c>
      <c r="C45"/>
      <c r="D45" s="562">
        <f>E39</f>
        <v>250.64700000000002</v>
      </c>
      <c r="E45" s="562">
        <f>D45</f>
        <v>250.64700000000002</v>
      </c>
      <c r="H45"/>
      <c r="I45"/>
      <c r="J45"/>
    </row>
    <row r="46" spans="2:10">
      <c r="B46" s="561" t="s">
        <v>634</v>
      </c>
      <c r="C46"/>
      <c r="D46" s="558"/>
      <c r="E46" s="558">
        <f>SUM(E44:E45)</f>
        <v>1707.8969999999999</v>
      </c>
      <c r="H46"/>
      <c r="I46"/>
      <c r="J46"/>
    </row>
    <row r="47" spans="2:10">
      <c r="B47" s="561"/>
      <c r="D47" s="558"/>
      <c r="E47" s="558"/>
      <c r="F47" s="57"/>
      <c r="G47" s="57"/>
      <c r="H47"/>
      <c r="I47"/>
      <c r="J47"/>
    </row>
    <row r="48" spans="2:10">
      <c r="B48" s="1" t="s">
        <v>633</v>
      </c>
      <c r="D48" s="107"/>
      <c r="E48" s="558">
        <f>D43*0.16*0.3</f>
        <v>130.79999999999998</v>
      </c>
      <c r="F48" s="559"/>
      <c r="G48" s="57"/>
      <c r="H48"/>
      <c r="I48"/>
      <c r="J48"/>
    </row>
    <row r="49" spans="2:10">
      <c r="D49" s="107"/>
      <c r="E49" s="558"/>
      <c r="F49" s="559"/>
      <c r="G49" s="560"/>
      <c r="H49"/>
      <c r="I49"/>
      <c r="J49"/>
    </row>
    <row r="50" spans="2:10">
      <c r="B50" s="1" t="s">
        <v>632</v>
      </c>
      <c r="D50" s="107"/>
      <c r="E50" s="558">
        <f>D43*0.032</f>
        <v>87.2</v>
      </c>
      <c r="F50" s="559"/>
      <c r="H50"/>
      <c r="I50"/>
      <c r="J50"/>
    </row>
    <row r="51" spans="2:10">
      <c r="D51" s="107"/>
      <c r="E51" s="558"/>
      <c r="F51" s="559"/>
      <c r="H51"/>
      <c r="I51"/>
      <c r="J51"/>
    </row>
    <row r="52" spans="2:10">
      <c r="B52" s="1" t="s">
        <v>631</v>
      </c>
      <c r="D52" s="107"/>
      <c r="E52" s="558">
        <f>SUM(E46,E48,E50)</f>
        <v>1925.8969999999999</v>
      </c>
      <c r="H52"/>
      <c r="I52"/>
      <c r="J52"/>
    </row>
    <row r="53" spans="2:10">
      <c r="B53" s="1" t="s">
        <v>630</v>
      </c>
      <c r="D53" s="107"/>
      <c r="E53" s="558">
        <f>ROUND(E43-E52,0)</f>
        <v>118</v>
      </c>
      <c r="H53"/>
      <c r="I53"/>
      <c r="J53"/>
    </row>
  </sheetData>
  <mergeCells count="13">
    <mergeCell ref="A10:L11"/>
    <mergeCell ref="B13:C13"/>
    <mergeCell ref="D13:E13"/>
    <mergeCell ref="F13:G13"/>
    <mergeCell ref="B14:C14"/>
    <mergeCell ref="D14:E14"/>
    <mergeCell ref="F14:G14"/>
    <mergeCell ref="B15:C15"/>
    <mergeCell ref="D15:E15"/>
    <mergeCell ref="F15:G15"/>
    <mergeCell ref="B16:C16"/>
    <mergeCell ref="D16:E16"/>
    <mergeCell ref="F16:G16"/>
  </mergeCells>
  <pageMargins left="0.39370078740157483" right="0.39370078740157483" top="0.39370078740157483" bottom="0.39370078740157483" header="0.31496062992125984" footer="0.31496062992125984"/>
  <pageSetup scale="88" orientation="portrait" verticalDpi="1200" r:id="rId1"/>
  <headerFooter>
    <oddFooter>&amp;L&amp;F [&amp;A]&amp;R&amp;P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19070-FE7C-445A-AF8C-0249D28F117D}">
  <dimension ref="A1:R102"/>
  <sheetViews>
    <sheetView zoomScaleNormal="100" workbookViewId="0"/>
  </sheetViews>
  <sheetFormatPr defaultColWidth="8.88671875" defaultRowHeight="15.6"/>
  <cols>
    <col min="1" max="1" width="8.88671875" style="1" customWidth="1"/>
    <col min="2" max="7" width="11.77734375" style="1" customWidth="1"/>
    <col min="8" max="9" width="10.77734375" style="1" customWidth="1"/>
    <col min="10" max="16384" width="8.88671875" style="1"/>
  </cols>
  <sheetData>
    <row r="1" spans="1:12" ht="17.399999999999999">
      <c r="A1" s="23" t="s">
        <v>707</v>
      </c>
      <c r="B1" s="22"/>
      <c r="C1" s="22" t="s">
        <v>668</v>
      </c>
      <c r="D1" s="22"/>
      <c r="E1" s="22"/>
      <c r="F1" s="22"/>
      <c r="G1" s="22"/>
      <c r="H1" s="22"/>
      <c r="I1" s="22"/>
      <c r="J1" s="22"/>
      <c r="K1" s="22"/>
      <c r="L1" s="2"/>
    </row>
    <row r="2" spans="1:12">
      <c r="A2" s="22"/>
      <c r="B2" s="22"/>
      <c r="C2" s="22"/>
      <c r="D2" s="22"/>
      <c r="E2" s="22"/>
      <c r="F2" s="22"/>
      <c r="G2" s="22"/>
      <c r="H2" s="22"/>
      <c r="I2" s="22"/>
      <c r="J2" s="22"/>
      <c r="K2" s="22"/>
      <c r="L2" s="2"/>
    </row>
    <row r="3" spans="1:12">
      <c r="A3" s="22" t="s">
        <v>706</v>
      </c>
      <c r="B3" s="22"/>
      <c r="C3" s="22"/>
      <c r="D3" s="22"/>
      <c r="E3" s="22"/>
      <c r="F3" s="22"/>
      <c r="G3" s="22"/>
      <c r="H3" s="22"/>
      <c r="I3" s="22"/>
      <c r="J3" s="22"/>
      <c r="K3" s="22"/>
      <c r="L3" s="2"/>
    </row>
    <row r="4" spans="1:12">
      <c r="A4" s="593"/>
      <c r="B4" s="22"/>
      <c r="C4" s="22"/>
      <c r="D4" s="22"/>
      <c r="E4" s="22"/>
      <c r="F4" s="22"/>
      <c r="G4" s="22"/>
      <c r="H4" s="22"/>
      <c r="I4" s="22"/>
      <c r="J4" s="22"/>
      <c r="K4" s="22"/>
      <c r="L4" s="22"/>
    </row>
    <row r="5" spans="1:12">
      <c r="A5" s="593" t="s">
        <v>705</v>
      </c>
      <c r="B5" s="22"/>
      <c r="C5" s="22"/>
      <c r="D5" s="22"/>
      <c r="E5" s="22"/>
      <c r="F5" s="22"/>
      <c r="G5" s="22"/>
      <c r="H5" s="22"/>
      <c r="I5" s="22"/>
      <c r="J5" s="22"/>
      <c r="K5" s="22"/>
      <c r="L5" s="22"/>
    </row>
    <row r="6" spans="1:12">
      <c r="A6" s="593"/>
      <c r="B6" s="22"/>
      <c r="C6" s="22"/>
      <c r="D6" s="22"/>
      <c r="E6" s="22"/>
      <c r="F6" s="22"/>
      <c r="G6" s="22"/>
      <c r="H6" s="22"/>
      <c r="I6" s="22"/>
      <c r="J6" s="22"/>
      <c r="K6" s="22"/>
      <c r="L6" s="22"/>
    </row>
    <row r="7" spans="1:12">
      <c r="A7" s="593"/>
      <c r="B7" s="608"/>
      <c r="C7" s="1754" t="s">
        <v>660</v>
      </c>
      <c r="D7" s="1754"/>
      <c r="E7" s="1754" t="s">
        <v>681</v>
      </c>
      <c r="F7" s="1754"/>
      <c r="G7" s="22"/>
      <c r="H7" s="22"/>
      <c r="I7" s="22"/>
      <c r="J7" s="22"/>
      <c r="K7" s="22"/>
      <c r="L7" s="22"/>
    </row>
    <row r="8" spans="1:12">
      <c r="A8" s="593"/>
      <c r="B8" s="608"/>
      <c r="C8" s="528" t="s">
        <v>680</v>
      </c>
      <c r="D8" s="528" t="s">
        <v>679</v>
      </c>
      <c r="E8" s="528" t="s">
        <v>680</v>
      </c>
      <c r="F8" s="528" t="s">
        <v>679</v>
      </c>
      <c r="G8" s="22"/>
      <c r="H8" s="22"/>
      <c r="I8" s="22"/>
      <c r="J8" s="22"/>
      <c r="K8" s="22"/>
      <c r="L8" s="22"/>
    </row>
    <row r="9" spans="1:12">
      <c r="A9" s="593"/>
      <c r="B9" s="1772" t="s">
        <v>704</v>
      </c>
      <c r="C9" s="1772"/>
      <c r="D9" s="1772"/>
      <c r="E9" s="1772"/>
      <c r="F9" s="1772"/>
      <c r="G9" s="22"/>
      <c r="H9" s="22"/>
      <c r="I9" s="22"/>
      <c r="J9" s="22"/>
      <c r="K9" s="22"/>
      <c r="L9" s="22"/>
    </row>
    <row r="10" spans="1:12">
      <c r="A10" s="593"/>
      <c r="B10" s="530">
        <v>2017</v>
      </c>
      <c r="C10" s="580">
        <v>1000</v>
      </c>
      <c r="D10" s="530">
        <v>740</v>
      </c>
      <c r="E10" s="580">
        <v>2000</v>
      </c>
      <c r="F10" s="580">
        <v>1820</v>
      </c>
      <c r="G10" s="22"/>
      <c r="H10" s="22"/>
      <c r="I10" s="22"/>
      <c r="J10" s="22"/>
      <c r="K10" s="22"/>
      <c r="L10" s="22"/>
    </row>
    <row r="11" spans="1:12">
      <c r="A11" s="593"/>
      <c r="B11" s="530">
        <v>2018</v>
      </c>
      <c r="C11" s="580">
        <v>1100</v>
      </c>
      <c r="D11" s="530">
        <v>814</v>
      </c>
      <c r="E11" s="580">
        <v>3100</v>
      </c>
      <c r="F11" s="580">
        <v>2728</v>
      </c>
      <c r="G11" s="22"/>
      <c r="H11" s="22"/>
      <c r="I11" s="22"/>
      <c r="J11" s="22"/>
      <c r="K11" s="22"/>
      <c r="L11" s="22"/>
    </row>
    <row r="12" spans="1:12">
      <c r="A12" s="593"/>
      <c r="B12" s="530">
        <v>2019</v>
      </c>
      <c r="C12" s="580">
        <v>1200</v>
      </c>
      <c r="D12" s="530">
        <v>888</v>
      </c>
      <c r="E12" s="580">
        <v>4900</v>
      </c>
      <c r="F12" s="580">
        <v>4165</v>
      </c>
      <c r="G12" s="22"/>
      <c r="H12" s="22"/>
      <c r="I12" s="22"/>
      <c r="J12" s="22"/>
      <c r="K12" s="22"/>
      <c r="L12" s="22"/>
    </row>
    <row r="13" spans="1:12">
      <c r="A13" s="593"/>
      <c r="B13" s="530">
        <v>2020</v>
      </c>
      <c r="C13" s="580">
        <v>1300</v>
      </c>
      <c r="D13" s="530">
        <v>962</v>
      </c>
      <c r="E13" s="580">
        <v>6000</v>
      </c>
      <c r="F13" s="580">
        <v>4920</v>
      </c>
      <c r="G13" s="22"/>
      <c r="H13" s="22"/>
      <c r="I13" s="22"/>
      <c r="J13" s="22"/>
      <c r="K13" s="22"/>
      <c r="L13" s="22"/>
    </row>
    <row r="14" spans="1:12">
      <c r="A14" s="593"/>
      <c r="B14" s="608"/>
      <c r="C14" s="608"/>
      <c r="D14" s="608"/>
      <c r="E14" s="608"/>
      <c r="F14" s="608"/>
      <c r="G14" s="22"/>
      <c r="H14" s="22"/>
      <c r="I14" s="22"/>
      <c r="J14" s="22"/>
      <c r="K14" s="22"/>
      <c r="L14" s="22"/>
    </row>
    <row r="15" spans="1:12">
      <c r="A15" s="593"/>
      <c r="B15" s="1772" t="s">
        <v>703</v>
      </c>
      <c r="C15" s="1772"/>
      <c r="D15" s="1772"/>
      <c r="E15" s="1772"/>
      <c r="F15" s="1772"/>
      <c r="G15" s="22"/>
      <c r="H15" s="22"/>
      <c r="I15" s="22"/>
      <c r="J15" s="22"/>
      <c r="K15" s="22"/>
      <c r="L15" s="22"/>
    </row>
    <row r="16" spans="1:12">
      <c r="A16" s="593"/>
      <c r="B16" s="530">
        <v>2016</v>
      </c>
      <c r="C16" s="530">
        <v>525</v>
      </c>
      <c r="D16" s="530">
        <v>415</v>
      </c>
      <c r="E16" s="530">
        <v>950</v>
      </c>
      <c r="F16" s="530">
        <v>893</v>
      </c>
      <c r="G16" s="22"/>
      <c r="H16" s="22"/>
      <c r="I16" s="22"/>
      <c r="J16" s="22"/>
      <c r="K16" s="22"/>
      <c r="L16" s="22"/>
    </row>
    <row r="17" spans="1:12">
      <c r="A17" s="593"/>
      <c r="B17" s="530">
        <v>2017</v>
      </c>
      <c r="C17" s="530">
        <v>500</v>
      </c>
      <c r="D17" s="530">
        <v>395</v>
      </c>
      <c r="E17" s="580">
        <v>1000</v>
      </c>
      <c r="F17" s="530">
        <v>910</v>
      </c>
      <c r="G17" s="22"/>
      <c r="H17" s="22"/>
      <c r="I17" s="22"/>
      <c r="J17" s="22"/>
      <c r="K17" s="22"/>
      <c r="L17" s="22"/>
    </row>
    <row r="18" spans="1:12">
      <c r="A18" s="593"/>
      <c r="B18" s="530">
        <v>2018</v>
      </c>
      <c r="C18" s="530">
        <v>550</v>
      </c>
      <c r="D18" s="530">
        <v>435</v>
      </c>
      <c r="E18" s="580">
        <v>1550</v>
      </c>
      <c r="F18" s="580">
        <v>1364</v>
      </c>
      <c r="G18" s="22"/>
      <c r="H18" s="22"/>
      <c r="I18" s="22"/>
      <c r="J18" s="22"/>
      <c r="K18" s="22"/>
      <c r="L18" s="22"/>
    </row>
    <row r="19" spans="1:12">
      <c r="A19" s="593"/>
      <c r="B19" s="530">
        <v>2019</v>
      </c>
      <c r="C19" s="530">
        <v>600</v>
      </c>
      <c r="D19" s="530">
        <v>474</v>
      </c>
      <c r="E19" s="580">
        <v>2450</v>
      </c>
      <c r="F19" s="580">
        <v>2083</v>
      </c>
      <c r="G19" s="22"/>
      <c r="H19" s="22"/>
      <c r="I19" s="22"/>
      <c r="J19" s="22"/>
      <c r="K19" s="22"/>
      <c r="L19" s="22"/>
    </row>
    <row r="20" spans="1:12">
      <c r="A20" s="593"/>
      <c r="B20" s="530">
        <v>2020</v>
      </c>
      <c r="C20" s="530">
        <v>650</v>
      </c>
      <c r="D20" s="530">
        <v>514</v>
      </c>
      <c r="E20" s="580">
        <v>3000</v>
      </c>
      <c r="F20" s="580">
        <v>2460</v>
      </c>
      <c r="G20" s="22"/>
      <c r="H20" s="22"/>
      <c r="I20" s="22"/>
      <c r="J20" s="22"/>
      <c r="K20" s="22"/>
      <c r="L20" s="22"/>
    </row>
    <row r="21" spans="1:12">
      <c r="A21" s="593"/>
      <c r="B21" s="608"/>
      <c r="C21" s="608"/>
      <c r="D21" s="608"/>
      <c r="E21" s="608"/>
      <c r="F21" s="608"/>
      <c r="G21" s="22"/>
      <c r="H21" s="22"/>
      <c r="I21" s="22"/>
      <c r="J21" s="22"/>
      <c r="K21" s="22"/>
      <c r="L21" s="22"/>
    </row>
    <row r="22" spans="1:12">
      <c r="A22" s="593"/>
      <c r="B22" s="1773" t="s">
        <v>702</v>
      </c>
      <c r="C22" s="1773"/>
      <c r="D22" s="1773"/>
      <c r="E22" s="1773"/>
      <c r="F22" s="1773"/>
      <c r="G22" s="22"/>
      <c r="H22" s="22"/>
      <c r="I22" s="22"/>
      <c r="J22" s="22"/>
      <c r="K22" s="22"/>
      <c r="L22" s="22"/>
    </row>
    <row r="23" spans="1:12">
      <c r="A23" s="593"/>
      <c r="B23" s="530">
        <v>2017</v>
      </c>
      <c r="C23" s="530">
        <v>460</v>
      </c>
      <c r="D23" s="530">
        <v>300</v>
      </c>
      <c r="E23" s="580">
        <v>1070</v>
      </c>
      <c r="F23" s="530">
        <v>830</v>
      </c>
      <c r="G23" s="22"/>
      <c r="H23" s="22"/>
      <c r="I23" s="22"/>
      <c r="J23" s="22"/>
      <c r="K23" s="22"/>
      <c r="L23" s="22"/>
    </row>
    <row r="24" spans="1:12">
      <c r="A24" s="593"/>
      <c r="B24" s="530">
        <v>2018</v>
      </c>
      <c r="C24" s="530">
        <v>480</v>
      </c>
      <c r="D24" s="530">
        <v>310</v>
      </c>
      <c r="E24" s="580">
        <v>1530</v>
      </c>
      <c r="F24" s="580">
        <v>1190</v>
      </c>
      <c r="G24" s="22"/>
      <c r="H24" s="22"/>
      <c r="I24" s="22"/>
      <c r="J24" s="22"/>
      <c r="K24" s="22"/>
      <c r="L24" s="22"/>
    </row>
    <row r="25" spans="1:12">
      <c r="A25" s="593"/>
      <c r="B25" s="530">
        <v>2019</v>
      </c>
      <c r="C25" s="530">
        <v>510</v>
      </c>
      <c r="D25" s="530">
        <v>330</v>
      </c>
      <c r="E25" s="580">
        <v>2600</v>
      </c>
      <c r="F25" s="580">
        <v>2030</v>
      </c>
      <c r="G25" s="22"/>
      <c r="H25" s="22"/>
      <c r="I25" s="22"/>
      <c r="J25" s="22"/>
      <c r="K25" s="22"/>
      <c r="L25" s="22"/>
    </row>
    <row r="26" spans="1:12">
      <c r="A26" s="22"/>
      <c r="B26" s="530">
        <v>2020</v>
      </c>
      <c r="C26" s="530">
        <v>590</v>
      </c>
      <c r="D26" s="530">
        <v>380</v>
      </c>
      <c r="E26" s="580">
        <v>3820</v>
      </c>
      <c r="F26" s="580">
        <v>2980</v>
      </c>
      <c r="G26" s="22"/>
      <c r="H26" s="22"/>
      <c r="I26" s="22"/>
      <c r="J26" s="22"/>
      <c r="K26" s="22"/>
      <c r="L26" s="22"/>
    </row>
    <row r="27" spans="1:12">
      <c r="A27" s="22"/>
      <c r="B27" s="606"/>
      <c r="C27" s="530"/>
      <c r="D27" s="530"/>
      <c r="E27" s="530"/>
      <c r="F27" s="530"/>
      <c r="G27" s="22"/>
      <c r="H27" s="22"/>
      <c r="I27" s="22"/>
      <c r="J27" s="22"/>
      <c r="K27" s="22"/>
      <c r="L27" s="22"/>
    </row>
    <row r="28" spans="1:12">
      <c r="A28" s="593"/>
      <c r="B28" s="1772" t="s">
        <v>701</v>
      </c>
      <c r="C28" s="1772"/>
      <c r="D28" s="1772"/>
      <c r="E28" s="1772"/>
      <c r="F28" s="1772"/>
      <c r="G28" s="22"/>
      <c r="H28" s="22"/>
      <c r="I28" s="22"/>
      <c r="J28" s="22"/>
      <c r="K28" s="22"/>
      <c r="L28" s="22"/>
    </row>
    <row r="29" spans="1:12">
      <c r="A29" s="22"/>
      <c r="B29" s="530">
        <v>2017</v>
      </c>
      <c r="C29" s="579">
        <v>0.45</v>
      </c>
      <c r="D29" s="579">
        <v>0.39</v>
      </c>
      <c r="E29" s="579">
        <v>0.55000000000000004</v>
      </c>
      <c r="F29" s="579">
        <v>0.46</v>
      </c>
      <c r="G29" s="22"/>
      <c r="H29" s="22"/>
      <c r="I29" s="22"/>
      <c r="J29" s="22"/>
      <c r="K29" s="22"/>
      <c r="L29" s="22"/>
    </row>
    <row r="30" spans="1:12">
      <c r="A30" s="22"/>
      <c r="B30" s="530">
        <v>2018</v>
      </c>
      <c r="C30" s="579">
        <v>0.46</v>
      </c>
      <c r="D30" s="579">
        <v>0.4</v>
      </c>
      <c r="E30" s="579">
        <v>0.6</v>
      </c>
      <c r="F30" s="579">
        <v>0.52</v>
      </c>
      <c r="G30" s="22"/>
      <c r="H30" s="22"/>
      <c r="I30" s="22"/>
      <c r="J30" s="22"/>
      <c r="K30" s="22"/>
      <c r="L30" s="22"/>
    </row>
    <row r="31" spans="1:12">
      <c r="A31" s="22"/>
      <c r="B31" s="530">
        <v>2019</v>
      </c>
      <c r="C31" s="579">
        <v>0.44</v>
      </c>
      <c r="D31" s="579">
        <v>0.39</v>
      </c>
      <c r="E31" s="579">
        <v>0.65</v>
      </c>
      <c r="F31" s="579">
        <v>0.59</v>
      </c>
      <c r="G31" s="22"/>
      <c r="H31" s="22"/>
      <c r="I31" s="22"/>
      <c r="J31" s="22"/>
      <c r="K31" s="22"/>
      <c r="L31" s="22"/>
    </row>
    <row r="32" spans="1:12">
      <c r="A32" s="22"/>
      <c r="B32" s="530">
        <v>2020</v>
      </c>
      <c r="C32" s="579">
        <v>0.47</v>
      </c>
      <c r="D32" s="579">
        <v>0.41</v>
      </c>
      <c r="E32" s="579">
        <v>0.7</v>
      </c>
      <c r="F32" s="579">
        <v>0.66</v>
      </c>
      <c r="G32" s="22"/>
      <c r="H32" s="22"/>
      <c r="I32" s="22"/>
      <c r="J32" s="22"/>
      <c r="K32" s="22"/>
      <c r="L32" s="22"/>
    </row>
    <row r="33" spans="1:18">
      <c r="A33" s="22"/>
      <c r="B33" s="22"/>
      <c r="C33" s="22"/>
      <c r="D33" s="22"/>
      <c r="E33" s="22"/>
      <c r="F33" s="22"/>
      <c r="G33" s="22"/>
      <c r="H33" s="22"/>
      <c r="I33" s="22"/>
      <c r="J33" s="22"/>
      <c r="K33" s="22"/>
      <c r="L33" s="22"/>
    </row>
    <row r="34" spans="1:18">
      <c r="A34" s="2"/>
      <c r="B34" s="2"/>
      <c r="C34" s="2"/>
      <c r="D34" s="2"/>
      <c r="E34" s="2"/>
      <c r="F34" s="2"/>
      <c r="G34" s="2"/>
      <c r="H34" s="2"/>
      <c r="I34" s="2"/>
      <c r="J34" s="2"/>
      <c r="K34" s="2"/>
      <c r="L34" s="2"/>
    </row>
    <row r="35" spans="1:18">
      <c r="A35" s="577" t="s">
        <v>80</v>
      </c>
      <c r="B35" s="22" t="s">
        <v>700</v>
      </c>
      <c r="C35" s="22"/>
      <c r="D35" s="22"/>
      <c r="E35" s="22"/>
      <c r="F35" s="22"/>
      <c r="G35" s="22"/>
      <c r="H35" s="22"/>
      <c r="I35" s="22"/>
      <c r="J35" s="22"/>
      <c r="K35" s="22"/>
      <c r="L35" s="22"/>
      <c r="M35" s="328"/>
      <c r="N35" s="328"/>
      <c r="O35" s="328"/>
      <c r="P35" s="328"/>
      <c r="Q35" s="328"/>
      <c r="R35" s="328"/>
    </row>
    <row r="36" spans="1:18">
      <c r="A36" s="37"/>
      <c r="B36" s="37"/>
      <c r="C36" s="37"/>
      <c r="D36" s="37"/>
      <c r="E36" s="37"/>
      <c r="F36" s="37"/>
      <c r="G36" s="37"/>
      <c r="H36" s="37"/>
      <c r="I36" s="37"/>
      <c r="J36" s="37"/>
      <c r="K36" s="37"/>
      <c r="L36" s="37"/>
      <c r="M36" s="37"/>
    </row>
    <row r="37" spans="1:18">
      <c r="A37" s="37" t="s">
        <v>650</v>
      </c>
      <c r="G37" s="37"/>
      <c r="H37" s="37"/>
      <c r="N37" s="328"/>
    </row>
    <row r="38" spans="1:18">
      <c r="A38" s="37"/>
      <c r="B38" s="1770" t="s">
        <v>699</v>
      </c>
      <c r="C38" s="1770"/>
      <c r="D38" s="1770"/>
      <c r="E38" s="1770"/>
      <c r="F38" s="1770"/>
      <c r="G38" s="37"/>
      <c r="H38" s="37"/>
      <c r="N38" s="328"/>
    </row>
    <row r="39" spans="1:18">
      <c r="A39" s="37"/>
      <c r="B39" s="277"/>
      <c r="C39" s="1771" t="s">
        <v>660</v>
      </c>
      <c r="D39" s="1771"/>
      <c r="E39" s="1771" t="s">
        <v>681</v>
      </c>
      <c r="F39" s="1771"/>
      <c r="G39" s="37"/>
      <c r="H39" s="37"/>
      <c r="N39" s="328"/>
    </row>
    <row r="40" spans="1:18">
      <c r="A40" s="37"/>
      <c r="B40" s="603" t="s">
        <v>698</v>
      </c>
      <c r="C40" s="589" t="s">
        <v>680</v>
      </c>
      <c r="D40" s="589" t="s">
        <v>679</v>
      </c>
      <c r="E40" s="589" t="s">
        <v>680</v>
      </c>
      <c r="F40" s="589" t="s">
        <v>679</v>
      </c>
      <c r="G40" s="37"/>
      <c r="H40" s="37"/>
      <c r="N40" s="328"/>
    </row>
    <row r="41" spans="1:18">
      <c r="A41" s="37"/>
      <c r="B41" s="277">
        <v>2017</v>
      </c>
      <c r="C41" s="604">
        <f t="shared" ref="C41:F44" si="0">C16+C10-C17</f>
        <v>1025</v>
      </c>
      <c r="D41" s="604">
        <f t="shared" si="0"/>
        <v>760</v>
      </c>
      <c r="E41" s="604">
        <f t="shared" si="0"/>
        <v>1950</v>
      </c>
      <c r="F41" s="604">
        <f t="shared" si="0"/>
        <v>1803</v>
      </c>
      <c r="G41" s="37"/>
      <c r="H41" s="37"/>
      <c r="N41" s="328"/>
    </row>
    <row r="42" spans="1:18">
      <c r="A42" s="37"/>
      <c r="B42" s="277">
        <f>B41+1</f>
        <v>2018</v>
      </c>
      <c r="C42" s="604">
        <f t="shared" si="0"/>
        <v>1050</v>
      </c>
      <c r="D42" s="604">
        <f t="shared" si="0"/>
        <v>774</v>
      </c>
      <c r="E42" s="604">
        <f t="shared" si="0"/>
        <v>2550</v>
      </c>
      <c r="F42" s="604">
        <f t="shared" si="0"/>
        <v>2274</v>
      </c>
      <c r="G42" s="37"/>
      <c r="H42" s="37"/>
      <c r="N42" s="328"/>
    </row>
    <row r="43" spans="1:18">
      <c r="A43" s="37"/>
      <c r="B43" s="277">
        <f>B42+1</f>
        <v>2019</v>
      </c>
      <c r="C43" s="604">
        <f t="shared" si="0"/>
        <v>1150</v>
      </c>
      <c r="D43" s="604">
        <f t="shared" si="0"/>
        <v>849</v>
      </c>
      <c r="E43" s="604">
        <f t="shared" si="0"/>
        <v>4000</v>
      </c>
      <c r="F43" s="604">
        <f t="shared" si="0"/>
        <v>3446</v>
      </c>
      <c r="G43" s="37"/>
      <c r="H43" s="37"/>
      <c r="N43" s="328"/>
    </row>
    <row r="44" spans="1:18">
      <c r="A44"/>
      <c r="B44" s="277">
        <f>B43+1</f>
        <v>2020</v>
      </c>
      <c r="C44" s="604">
        <f t="shared" si="0"/>
        <v>1250</v>
      </c>
      <c r="D44" s="604">
        <f t="shared" si="0"/>
        <v>922</v>
      </c>
      <c r="E44" s="604">
        <f t="shared" si="0"/>
        <v>5450</v>
      </c>
      <c r="F44" s="604">
        <f t="shared" si="0"/>
        <v>4543</v>
      </c>
      <c r="G44"/>
      <c r="H44"/>
      <c r="I44" s="37"/>
      <c r="J44" s="37"/>
      <c r="K44" s="37"/>
      <c r="L44" s="37"/>
      <c r="M44" s="37"/>
      <c r="N44" s="328"/>
    </row>
    <row r="45" spans="1:18">
      <c r="A45"/>
      <c r="B45"/>
      <c r="C45"/>
      <c r="D45"/>
      <c r="E45"/>
      <c r="F45"/>
      <c r="G45"/>
      <c r="H45"/>
      <c r="I45" s="37"/>
      <c r="J45" s="37"/>
      <c r="K45" s="37"/>
      <c r="L45" s="37"/>
      <c r="M45" s="37"/>
      <c r="N45" s="328"/>
    </row>
    <row r="46" spans="1:18">
      <c r="A46" s="37"/>
      <c r="B46" s="1770" t="s">
        <v>697</v>
      </c>
      <c r="C46" s="1770"/>
      <c r="D46" s="1770"/>
      <c r="E46" s="1770"/>
      <c r="F46" s="1770"/>
      <c r="G46" s="37"/>
      <c r="H46" s="37"/>
      <c r="I46" s="37"/>
      <c r="J46" s="37"/>
      <c r="K46" s="37"/>
      <c r="L46" s="37"/>
      <c r="M46" s="37"/>
      <c r="N46" s="328"/>
    </row>
    <row r="47" spans="1:18">
      <c r="A47" s="37"/>
      <c r="B47" s="277"/>
      <c r="C47" s="1769" t="s">
        <v>660</v>
      </c>
      <c r="D47" s="1769"/>
      <c r="E47" s="1769" t="s">
        <v>681</v>
      </c>
      <c r="F47" s="1769"/>
      <c r="G47" s="37"/>
      <c r="H47" s="37"/>
      <c r="I47" s="37"/>
      <c r="J47" s="37"/>
      <c r="K47" s="37"/>
      <c r="L47" s="37"/>
      <c r="M47" s="37"/>
      <c r="N47" s="328"/>
    </row>
    <row r="48" spans="1:18">
      <c r="A48" s="37"/>
      <c r="B48" s="277" t="s">
        <v>31</v>
      </c>
      <c r="C48" s="602" t="s">
        <v>680</v>
      </c>
      <c r="D48" s="602" t="s">
        <v>679</v>
      </c>
      <c r="E48" s="602" t="s">
        <v>680</v>
      </c>
      <c r="F48" s="602" t="s">
        <v>679</v>
      </c>
      <c r="G48" s="37"/>
      <c r="H48" s="37"/>
      <c r="I48" s="37"/>
      <c r="J48" s="37"/>
      <c r="K48" s="37"/>
      <c r="L48" s="37"/>
      <c r="M48" s="37"/>
      <c r="N48" s="328"/>
    </row>
    <row r="49" spans="1:14">
      <c r="A49" s="37"/>
      <c r="B49" s="602">
        <v>2017</v>
      </c>
      <c r="C49" s="601">
        <f t="shared" ref="C49:F52" si="1">C23/C41</f>
        <v>0.44878048780487806</v>
      </c>
      <c r="D49" s="601">
        <f t="shared" si="1"/>
        <v>0.39473684210526316</v>
      </c>
      <c r="E49" s="601">
        <f t="shared" si="1"/>
        <v>0.54871794871794877</v>
      </c>
      <c r="F49" s="601">
        <f t="shared" si="1"/>
        <v>0.46034387132556848</v>
      </c>
      <c r="G49" s="37"/>
      <c r="H49" s="37"/>
      <c r="I49" s="37"/>
      <c r="J49" s="37"/>
      <c r="K49" s="37"/>
      <c r="L49" s="37"/>
      <c r="M49" s="37"/>
      <c r="N49" s="328"/>
    </row>
    <row r="50" spans="1:14">
      <c r="A50" s="37"/>
      <c r="B50" s="602">
        <v>2018</v>
      </c>
      <c r="C50" s="601">
        <f t="shared" si="1"/>
        <v>0.45714285714285713</v>
      </c>
      <c r="D50" s="601">
        <f t="shared" si="1"/>
        <v>0.4005167958656331</v>
      </c>
      <c r="E50" s="601">
        <f t="shared" si="1"/>
        <v>0.6</v>
      </c>
      <c r="F50" s="601">
        <f t="shared" si="1"/>
        <v>0.52330694810905898</v>
      </c>
      <c r="G50" s="37"/>
      <c r="H50" s="37"/>
      <c r="I50" s="37"/>
      <c r="J50" s="37"/>
      <c r="K50" s="37"/>
      <c r="L50" s="37"/>
      <c r="M50" s="37"/>
      <c r="N50" s="328"/>
    </row>
    <row r="51" spans="1:14">
      <c r="A51" s="37"/>
      <c r="B51" s="602">
        <v>2019</v>
      </c>
      <c r="C51" s="601">
        <f t="shared" si="1"/>
        <v>0.44347826086956521</v>
      </c>
      <c r="D51" s="601">
        <f t="shared" si="1"/>
        <v>0.38869257950530034</v>
      </c>
      <c r="E51" s="601">
        <f t="shared" si="1"/>
        <v>0.65</v>
      </c>
      <c r="F51" s="601">
        <f t="shared" si="1"/>
        <v>0.58908879860708063</v>
      </c>
      <c r="G51" s="37"/>
      <c r="H51" s="37"/>
      <c r="I51" s="37"/>
      <c r="J51" s="37"/>
      <c r="K51" s="37"/>
      <c r="L51" s="37"/>
      <c r="M51" s="37"/>
      <c r="N51" s="328"/>
    </row>
    <row r="52" spans="1:14">
      <c r="B52" s="602">
        <v>2020</v>
      </c>
      <c r="C52" s="601">
        <f t="shared" si="1"/>
        <v>0.47199999999999998</v>
      </c>
      <c r="D52" s="601">
        <f t="shared" si="1"/>
        <v>0.4121475054229935</v>
      </c>
      <c r="E52" s="601">
        <f t="shared" si="1"/>
        <v>0.70091743119266059</v>
      </c>
      <c r="F52" s="601">
        <f t="shared" si="1"/>
        <v>0.6559542152762492</v>
      </c>
      <c r="M52" s="328"/>
      <c r="N52" s="328"/>
    </row>
    <row r="54" spans="1:14">
      <c r="A54" s="577" t="s">
        <v>9</v>
      </c>
      <c r="B54" s="1724" t="s">
        <v>696</v>
      </c>
      <c r="C54" s="1766"/>
      <c r="D54" s="1766"/>
      <c r="E54" s="1766"/>
      <c r="F54" s="1766"/>
      <c r="G54" s="1766"/>
      <c r="H54" s="1766"/>
      <c r="I54" s="1766"/>
      <c r="J54" s="1766"/>
      <c r="K54" s="1766"/>
      <c r="L54" s="1766"/>
    </row>
    <row r="55" spans="1:14">
      <c r="A55" s="2"/>
      <c r="B55" s="1766"/>
      <c r="C55" s="1766"/>
      <c r="D55" s="1766"/>
      <c r="E55" s="1766"/>
      <c r="F55" s="1766"/>
      <c r="G55" s="1766"/>
      <c r="H55" s="1766"/>
      <c r="I55" s="1766"/>
      <c r="J55" s="1766"/>
      <c r="K55" s="1766"/>
      <c r="L55" s="1766"/>
    </row>
    <row r="56" spans="1:14">
      <c r="A56" s="37"/>
      <c r="B56" s="37"/>
      <c r="C56" s="37"/>
      <c r="D56" s="37"/>
      <c r="E56" s="37"/>
      <c r="F56" s="37"/>
      <c r="G56" s="37"/>
      <c r="H56" s="37"/>
      <c r="I56" s="37"/>
      <c r="J56" s="37"/>
      <c r="K56" s="37"/>
      <c r="L56" s="37"/>
    </row>
    <row r="57" spans="1:14">
      <c r="A57" s="37" t="s">
        <v>650</v>
      </c>
      <c r="B57" s="37"/>
      <c r="C57" s="37"/>
      <c r="D57" s="37"/>
      <c r="E57" s="37"/>
      <c r="F57" s="37"/>
      <c r="G57" s="37"/>
      <c r="H57" s="37"/>
      <c r="I57" s="37"/>
      <c r="J57" s="37"/>
      <c r="K57" s="37"/>
      <c r="L57" s="37"/>
    </row>
    <row r="58" spans="1:14">
      <c r="A58" s="37"/>
      <c r="B58" s="37"/>
      <c r="C58" s="37"/>
      <c r="D58" s="37"/>
      <c r="E58" s="37"/>
      <c r="F58" s="37"/>
      <c r="G58" s="37"/>
      <c r="H58" s="37"/>
      <c r="I58" s="37"/>
      <c r="J58" s="37"/>
      <c r="K58" s="37"/>
      <c r="L58" s="37"/>
    </row>
    <row r="59" spans="1:14">
      <c r="A59" s="37"/>
      <c r="B59" s="600"/>
      <c r="C59" s="599"/>
      <c r="D59" s="1767" t="s">
        <v>660</v>
      </c>
      <c r="E59" s="1768"/>
      <c r="F59" s="1767" t="s">
        <v>681</v>
      </c>
      <c r="G59" s="1768"/>
      <c r="H59" s="37"/>
    </row>
    <row r="60" spans="1:14">
      <c r="B60" s="598"/>
      <c r="C60" s="597"/>
      <c r="D60" s="596" t="s">
        <v>680</v>
      </c>
      <c r="E60" s="596" t="s">
        <v>679</v>
      </c>
      <c r="F60" s="596" t="s">
        <v>680</v>
      </c>
      <c r="G60" s="596" t="s">
        <v>679</v>
      </c>
      <c r="M60" s="37"/>
    </row>
    <row r="61" spans="1:14">
      <c r="B61" s="595" t="s">
        <v>695</v>
      </c>
      <c r="C61" s="502"/>
      <c r="D61" s="594">
        <f>AVERAGE(C49:C52)</f>
        <v>0.45535040145432509</v>
      </c>
      <c r="E61" s="594">
        <f>AVERAGE(D49:D52)</f>
        <v>0.39902343072479757</v>
      </c>
      <c r="F61" s="594">
        <f>E52</f>
        <v>0.70091743119266059</v>
      </c>
      <c r="G61" s="594">
        <f>F52</f>
        <v>0.6559542152762492</v>
      </c>
      <c r="M61" s="37"/>
    </row>
    <row r="62" spans="1:14">
      <c r="M62" s="37"/>
    </row>
    <row r="63" spans="1:14">
      <c r="B63" s="1" t="s">
        <v>694</v>
      </c>
    </row>
    <row r="64" spans="1:14">
      <c r="B64" s="1" t="s">
        <v>693</v>
      </c>
    </row>
    <row r="65" spans="1:12">
      <c r="B65" s="1" t="s">
        <v>692</v>
      </c>
    </row>
    <row r="67" spans="1:12">
      <c r="A67" s="22"/>
      <c r="B67" s="22"/>
      <c r="C67" s="22"/>
      <c r="D67" s="22"/>
      <c r="E67" s="22"/>
      <c r="F67" s="22"/>
      <c r="G67" s="22"/>
      <c r="H67" s="22"/>
      <c r="I67" s="22"/>
      <c r="J67" s="22"/>
      <c r="K67" s="22"/>
      <c r="L67" s="22"/>
    </row>
    <row r="68" spans="1:12">
      <c r="A68" s="22" t="s">
        <v>691</v>
      </c>
      <c r="B68" s="22"/>
      <c r="C68" s="22"/>
      <c r="D68" s="22"/>
      <c r="E68" s="22"/>
      <c r="F68" s="22"/>
      <c r="G68" s="22"/>
      <c r="H68" s="22"/>
      <c r="I68" s="22"/>
      <c r="J68" s="22"/>
      <c r="K68" s="22"/>
      <c r="L68" s="22"/>
    </row>
    <row r="69" spans="1:12">
      <c r="A69" s="22"/>
      <c r="B69" s="22"/>
      <c r="C69" s="22"/>
      <c r="D69" s="22"/>
      <c r="E69" s="22"/>
      <c r="F69" s="22"/>
      <c r="G69" s="22"/>
      <c r="H69" s="22"/>
      <c r="I69" s="22"/>
      <c r="J69" s="22"/>
      <c r="K69" s="22"/>
      <c r="L69" s="22"/>
    </row>
    <row r="70" spans="1:12">
      <c r="A70" s="22"/>
      <c r="B70" s="593" t="s">
        <v>690</v>
      </c>
      <c r="C70" s="22"/>
      <c r="D70" s="22"/>
      <c r="E70" s="22"/>
      <c r="F70" s="22"/>
      <c r="G70" s="22"/>
      <c r="H70" s="22"/>
      <c r="I70" s="22"/>
      <c r="J70" s="22"/>
      <c r="K70" s="22"/>
      <c r="L70" s="22"/>
    </row>
    <row r="71" spans="1:12">
      <c r="A71" s="22"/>
      <c r="B71" s="593" t="s">
        <v>689</v>
      </c>
      <c r="C71" s="22"/>
      <c r="D71" s="22"/>
      <c r="E71" s="22"/>
      <c r="F71" s="22"/>
      <c r="G71" s="22"/>
      <c r="H71" s="22"/>
      <c r="I71" s="22"/>
      <c r="J71" s="22"/>
      <c r="K71" s="22"/>
      <c r="L71" s="22"/>
    </row>
    <row r="72" spans="1:12">
      <c r="A72" s="22"/>
      <c r="B72" s="593" t="s">
        <v>688</v>
      </c>
      <c r="C72" s="22"/>
      <c r="D72" s="22"/>
      <c r="E72" s="22"/>
      <c r="F72" s="22"/>
      <c r="G72" s="22"/>
      <c r="H72" s="22"/>
      <c r="I72" s="22"/>
      <c r="J72" s="22"/>
      <c r="K72" s="22"/>
      <c r="L72" s="22"/>
    </row>
    <row r="73" spans="1:12">
      <c r="A73" s="22"/>
      <c r="B73" s="593" t="s">
        <v>687</v>
      </c>
      <c r="C73" s="22"/>
      <c r="D73" s="22"/>
      <c r="E73" s="22"/>
      <c r="F73" s="22"/>
      <c r="G73" s="22"/>
      <c r="H73" s="22"/>
      <c r="I73" s="22"/>
      <c r="J73" s="22"/>
      <c r="K73" s="22"/>
      <c r="L73" s="22"/>
    </row>
    <row r="74" spans="1:12">
      <c r="A74" s="22"/>
      <c r="B74" s="22"/>
      <c r="C74" s="22"/>
      <c r="D74" s="22"/>
      <c r="E74" s="22"/>
      <c r="F74" s="22"/>
      <c r="G74" s="22"/>
      <c r="H74" s="22"/>
      <c r="I74" s="22"/>
      <c r="J74" s="22"/>
      <c r="K74" s="22"/>
      <c r="L74" s="22"/>
    </row>
    <row r="75" spans="1:12">
      <c r="A75" s="2"/>
      <c r="B75" s="2"/>
      <c r="C75" s="2"/>
      <c r="D75" s="2"/>
      <c r="E75" s="2"/>
      <c r="F75" s="2"/>
      <c r="G75" s="2"/>
      <c r="H75" s="2"/>
      <c r="I75" s="2"/>
      <c r="J75" s="2"/>
      <c r="K75" s="2"/>
      <c r="L75" s="2"/>
    </row>
    <row r="76" spans="1:12">
      <c r="A76" s="577" t="s">
        <v>7</v>
      </c>
      <c r="B76" s="22" t="s">
        <v>686</v>
      </c>
      <c r="C76" s="22"/>
      <c r="D76" s="22"/>
      <c r="E76" s="22"/>
      <c r="F76" s="22"/>
      <c r="G76" s="22"/>
      <c r="H76" s="22"/>
      <c r="I76" s="22"/>
      <c r="J76" s="22"/>
      <c r="K76" s="22"/>
      <c r="L76" s="22"/>
    </row>
    <row r="77" spans="1:12">
      <c r="A77" s="37"/>
      <c r="B77" s="37"/>
      <c r="C77" s="37"/>
      <c r="D77" s="37"/>
      <c r="E77" s="37"/>
      <c r="F77" s="37"/>
      <c r="G77" s="37"/>
      <c r="H77" s="37"/>
      <c r="I77" s="37"/>
      <c r="J77" s="37"/>
      <c r="K77" s="37"/>
      <c r="L77" s="37"/>
    </row>
    <row r="78" spans="1:12">
      <c r="A78" s="37" t="s">
        <v>650</v>
      </c>
      <c r="B78" s="37"/>
      <c r="C78" s="37"/>
      <c r="D78" s="37"/>
      <c r="E78" s="37"/>
      <c r="F78" s="37"/>
      <c r="G78" s="37"/>
      <c r="H78" s="37"/>
      <c r="I78" s="37"/>
      <c r="J78" s="37"/>
      <c r="K78" s="37"/>
      <c r="L78" s="37"/>
    </row>
    <row r="79" spans="1:12">
      <c r="A79" s="37"/>
      <c r="B79" s="592">
        <v>0.1</v>
      </c>
      <c r="C79" s="37" t="s">
        <v>685</v>
      </c>
      <c r="D79" s="37"/>
      <c r="E79" s="37"/>
      <c r="F79" s="37"/>
      <c r="I79" s="37"/>
      <c r="J79" s="37"/>
      <c r="K79" s="37"/>
      <c r="L79" s="37"/>
    </row>
    <row r="80" spans="1:12">
      <c r="A80" s="37"/>
      <c r="B80" s="592">
        <v>0.15</v>
      </c>
      <c r="C80" s="37" t="s">
        <v>684</v>
      </c>
      <c r="D80" s="37"/>
      <c r="E80" s="37"/>
      <c r="F80" s="37"/>
      <c r="I80" s="37"/>
      <c r="J80" s="37"/>
      <c r="K80" s="37"/>
      <c r="L80" s="37"/>
    </row>
    <row r="81" spans="1:12">
      <c r="A81" s="37"/>
      <c r="B81" s="592">
        <v>0.25</v>
      </c>
      <c r="C81" s="37" t="s">
        <v>683</v>
      </c>
      <c r="D81" s="37"/>
      <c r="E81" s="37"/>
      <c r="F81" s="37"/>
      <c r="I81" s="37"/>
      <c r="J81" s="37"/>
      <c r="K81" s="37"/>
      <c r="L81" s="37"/>
    </row>
    <row r="82" spans="1:12">
      <c r="A82" s="37"/>
      <c r="B82" s="592">
        <v>0.03</v>
      </c>
      <c r="C82" s="37" t="s">
        <v>682</v>
      </c>
      <c r="D82" s="37"/>
      <c r="E82" s="37"/>
      <c r="F82" s="37"/>
      <c r="I82" s="37"/>
      <c r="J82" s="37"/>
      <c r="K82" s="37"/>
      <c r="L82" s="37"/>
    </row>
    <row r="83" spans="1:12">
      <c r="A83" s="37"/>
      <c r="B83" s="37"/>
      <c r="C83" s="37"/>
      <c r="D83" s="37"/>
      <c r="E83" s="37"/>
      <c r="F83" s="37"/>
      <c r="G83" s="37"/>
      <c r="H83" s="37"/>
      <c r="I83" s="37"/>
      <c r="J83" s="37"/>
      <c r="K83" s="37"/>
      <c r="L83" s="37"/>
    </row>
    <row r="84" spans="1:12">
      <c r="A84" s="37"/>
      <c r="B84" s="591"/>
      <c r="D84" s="1769" t="s">
        <v>660</v>
      </c>
      <c r="E84" s="1769"/>
      <c r="F84" s="1769" t="s">
        <v>681</v>
      </c>
      <c r="G84" s="1769"/>
      <c r="H84" s="1769" t="s">
        <v>98</v>
      </c>
      <c r="I84" s="1769"/>
      <c r="J84" s="37"/>
      <c r="K84" s="37"/>
      <c r="L84" s="37"/>
    </row>
    <row r="85" spans="1:12">
      <c r="A85" s="37"/>
      <c r="B85" s="590"/>
      <c r="C85" s="584"/>
      <c r="D85" s="589" t="s">
        <v>680</v>
      </c>
      <c r="E85" s="589" t="s">
        <v>679</v>
      </c>
      <c r="F85" s="589" t="s">
        <v>680</v>
      </c>
      <c r="G85" s="589" t="s">
        <v>679</v>
      </c>
      <c r="H85" s="589" t="s">
        <v>680</v>
      </c>
      <c r="I85" s="589" t="s">
        <v>679</v>
      </c>
      <c r="J85" s="37"/>
      <c r="K85" s="37"/>
    </row>
    <row r="86" spans="1:12">
      <c r="B86" s="1" t="s">
        <v>678</v>
      </c>
      <c r="D86" s="558">
        <f>C20</f>
        <v>650</v>
      </c>
      <c r="E86" s="558">
        <f>D20</f>
        <v>514</v>
      </c>
      <c r="F86" s="558">
        <f>E20</f>
        <v>3000</v>
      </c>
      <c r="G86" s="558">
        <f>F20</f>
        <v>2460</v>
      </c>
      <c r="H86" s="585">
        <f>D86+F86</f>
        <v>3650</v>
      </c>
      <c r="I86" s="585">
        <f>E86+G86</f>
        <v>2974</v>
      </c>
    </row>
    <row r="87" spans="1:12">
      <c r="B87" s="584" t="s">
        <v>677</v>
      </c>
      <c r="C87" s="584"/>
      <c r="D87" s="588">
        <f>D61</f>
        <v>0.45535040145432509</v>
      </c>
      <c r="E87" s="588">
        <f>E61</f>
        <v>0.39902343072479757</v>
      </c>
      <c r="F87" s="588">
        <f>F61</f>
        <v>0.70091743119266059</v>
      </c>
      <c r="G87" s="588">
        <f>G61</f>
        <v>0.6559542152762492</v>
      </c>
      <c r="H87" s="587"/>
      <c r="I87" s="587"/>
    </row>
    <row r="88" spans="1:12">
      <c r="B88" s="1" t="s">
        <v>676</v>
      </c>
      <c r="D88" s="558">
        <f>D86*D87</f>
        <v>295.97776094531133</v>
      </c>
      <c r="E88" s="558">
        <f>E86*E87</f>
        <v>205.09804339254595</v>
      </c>
      <c r="F88" s="558">
        <f>F86*F87</f>
        <v>2102.7522935779816</v>
      </c>
      <c r="G88" s="558">
        <f>G86*G87</f>
        <v>1613.647369579573</v>
      </c>
      <c r="H88" s="585">
        <f>D88+F88</f>
        <v>2398.7300545232929</v>
      </c>
      <c r="I88" s="585">
        <f>E88+G88</f>
        <v>1818.7454129721191</v>
      </c>
    </row>
    <row r="89" spans="1:12">
      <c r="B89" s="1" t="s">
        <v>675</v>
      </c>
      <c r="C89" s="558"/>
      <c r="D89" s="558"/>
      <c r="E89" s="558"/>
      <c r="F89" s="558"/>
      <c r="H89" s="558">
        <f>H88*B79</f>
        <v>239.87300545232929</v>
      </c>
      <c r="I89" s="558">
        <f>H89</f>
        <v>239.87300545232929</v>
      </c>
    </row>
    <row r="90" spans="1:12">
      <c r="B90" s="1" t="s">
        <v>674</v>
      </c>
      <c r="C90" s="586"/>
      <c r="D90" s="558"/>
      <c r="E90" s="558"/>
      <c r="F90" s="558"/>
      <c r="H90" s="585">
        <f>H86*B80*B81</f>
        <v>136.875</v>
      </c>
      <c r="I90" s="558">
        <f>H90</f>
        <v>136.875</v>
      </c>
    </row>
    <row r="91" spans="1:12">
      <c r="B91" s="584" t="s">
        <v>673</v>
      </c>
      <c r="C91" s="583"/>
      <c r="D91" s="583"/>
      <c r="E91" s="583"/>
      <c r="F91" s="583"/>
      <c r="G91" s="584"/>
      <c r="H91" s="583">
        <f>H86*B82</f>
        <v>109.5</v>
      </c>
      <c r="I91" s="583">
        <f>H91</f>
        <v>109.5</v>
      </c>
    </row>
    <row r="92" spans="1:12">
      <c r="B92" s="1" t="s">
        <v>672</v>
      </c>
      <c r="C92" s="558"/>
      <c r="D92" s="558"/>
      <c r="E92" s="558"/>
      <c r="F92" s="558"/>
      <c r="H92" s="558">
        <f>SUM(H88:H91)</f>
        <v>2884.9780599756223</v>
      </c>
      <c r="I92" s="558">
        <f>SUM(I88:I91)</f>
        <v>2304.9934184244485</v>
      </c>
    </row>
    <row r="94" spans="1:12">
      <c r="A94" s="577" t="s">
        <v>4</v>
      </c>
      <c r="B94" s="22" t="s">
        <v>671</v>
      </c>
      <c r="C94" s="22"/>
      <c r="D94" s="22"/>
      <c r="E94" s="22"/>
      <c r="F94" s="22"/>
      <c r="G94" s="22"/>
      <c r="H94" s="22"/>
      <c r="I94" s="22"/>
      <c r="J94" s="22"/>
      <c r="K94" s="22"/>
      <c r="L94" s="22"/>
    </row>
    <row r="95" spans="1:12">
      <c r="A95" s="418"/>
      <c r="B95" s="418"/>
      <c r="C95" s="418"/>
      <c r="D95" s="418"/>
      <c r="E95" s="418"/>
      <c r="F95" s="418"/>
      <c r="G95" s="418"/>
      <c r="H95" s="418"/>
      <c r="I95" s="418"/>
      <c r="J95" s="418"/>
      <c r="K95" s="418"/>
      <c r="L95" s="418"/>
    </row>
    <row r="96" spans="1:12">
      <c r="A96" s="37" t="s">
        <v>650</v>
      </c>
      <c r="B96" s="37"/>
      <c r="C96" s="37"/>
      <c r="D96" s="37"/>
      <c r="E96" s="37"/>
      <c r="F96" s="37"/>
      <c r="G96" s="37"/>
      <c r="H96" s="37"/>
      <c r="I96" s="37"/>
      <c r="J96" s="37"/>
      <c r="K96" s="37"/>
      <c r="L96" s="37"/>
    </row>
    <row r="97" spans="1:13">
      <c r="A97" s="37"/>
      <c r="B97" s="37"/>
      <c r="C97" s="37"/>
      <c r="D97" s="37"/>
      <c r="E97" s="37"/>
      <c r="F97" s="37"/>
      <c r="G97" s="37"/>
      <c r="H97" s="37"/>
      <c r="I97" s="37"/>
      <c r="J97" s="37"/>
      <c r="K97" s="37"/>
      <c r="L97" s="37"/>
    </row>
    <row r="98" spans="1:13">
      <c r="A98" s="37"/>
      <c r="B98" s="37" t="s">
        <v>670</v>
      </c>
      <c r="C98" s="37"/>
      <c r="D98" s="37"/>
      <c r="E98" s="37"/>
      <c r="F98" s="37"/>
      <c r="G98" s="37"/>
      <c r="H98" s="582"/>
      <c r="I98" s="581">
        <f>I86-I92</f>
        <v>669.00658157555154</v>
      </c>
      <c r="J98" s="37"/>
      <c r="K98" s="37"/>
      <c r="L98" s="37"/>
    </row>
    <row r="101" spans="1:13">
      <c r="M101" s="37"/>
    </row>
    <row r="102" spans="1:13">
      <c r="M102" s="37"/>
    </row>
  </sheetData>
  <mergeCells count="18">
    <mergeCell ref="B28:F28"/>
    <mergeCell ref="C7:D7"/>
    <mergeCell ref="E7:F7"/>
    <mergeCell ref="B9:F9"/>
    <mergeCell ref="B15:F15"/>
    <mergeCell ref="B22:F22"/>
    <mergeCell ref="B38:F38"/>
    <mergeCell ref="C39:D39"/>
    <mergeCell ref="E39:F39"/>
    <mergeCell ref="B46:F46"/>
    <mergeCell ref="C47:D47"/>
    <mergeCell ref="E47:F47"/>
    <mergeCell ref="B54:L55"/>
    <mergeCell ref="D59:E59"/>
    <mergeCell ref="F59:G59"/>
    <mergeCell ref="D84:E84"/>
    <mergeCell ref="F84:G84"/>
    <mergeCell ref="H84:I84"/>
  </mergeCells>
  <pageMargins left="0.7" right="0.7" top="0.75" bottom="0.75" header="0.3" footer="0.3"/>
  <pageSetup scale="71" orientation="portrait"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6221-1858-48A6-8DE9-4870C665C077}">
  <dimension ref="A1:R103"/>
  <sheetViews>
    <sheetView zoomScaleNormal="100" workbookViewId="0"/>
  </sheetViews>
  <sheetFormatPr defaultColWidth="8.88671875" defaultRowHeight="15.6"/>
  <cols>
    <col min="1" max="1" width="8.88671875" style="1" customWidth="1"/>
    <col min="2" max="4" width="20.6640625" style="1" customWidth="1"/>
    <col min="5" max="6" width="14.77734375" style="1" customWidth="1"/>
    <col min="7" max="7" width="15.77734375" style="1" customWidth="1"/>
    <col min="8" max="8" width="8.88671875" style="1" customWidth="1"/>
    <col min="9" max="16384" width="8.88671875" style="1"/>
  </cols>
  <sheetData>
    <row r="1" spans="1:12" ht="17.399999999999999">
      <c r="A1" s="23" t="s">
        <v>669</v>
      </c>
      <c r="B1" s="22"/>
      <c r="C1" s="22" t="s">
        <v>758</v>
      </c>
      <c r="D1" s="22"/>
      <c r="E1" s="22"/>
      <c r="F1" s="22"/>
      <c r="G1" s="22"/>
      <c r="H1" s="22"/>
      <c r="I1" s="22"/>
      <c r="J1" s="22"/>
      <c r="K1" s="22"/>
      <c r="L1" s="2"/>
    </row>
    <row r="2" spans="1:12">
      <c r="A2" s="22"/>
      <c r="B2" s="22"/>
      <c r="C2" s="22"/>
      <c r="D2" s="22"/>
      <c r="E2" s="22"/>
      <c r="F2" s="22"/>
      <c r="G2" s="22"/>
      <c r="H2" s="22"/>
      <c r="I2" s="22"/>
      <c r="J2" s="22"/>
      <c r="K2" s="22"/>
      <c r="L2" s="2"/>
    </row>
    <row r="3" spans="1:12">
      <c r="A3" s="22" t="s">
        <v>757</v>
      </c>
      <c r="B3" s="22"/>
      <c r="C3" s="22"/>
      <c r="D3" s="22"/>
      <c r="E3" s="22"/>
      <c r="F3" s="22"/>
      <c r="G3" s="22"/>
      <c r="H3" s="22"/>
      <c r="I3" s="22"/>
      <c r="J3" s="22"/>
      <c r="K3" s="22"/>
      <c r="L3" s="2"/>
    </row>
    <row r="4" spans="1:12">
      <c r="A4" s="593"/>
      <c r="B4" s="22"/>
      <c r="C4" s="22"/>
      <c r="D4" s="22"/>
      <c r="E4" s="22"/>
      <c r="F4" s="22"/>
      <c r="G4" s="22"/>
      <c r="H4" s="22"/>
      <c r="I4" s="22"/>
      <c r="J4" s="22"/>
      <c r="K4" s="22"/>
      <c r="L4" s="22"/>
    </row>
    <row r="5" spans="1:12">
      <c r="A5" s="593"/>
      <c r="B5" s="1751" t="s">
        <v>728</v>
      </c>
      <c r="C5" s="1751" t="s">
        <v>756</v>
      </c>
      <c r="D5" s="1751"/>
      <c r="E5" s="22"/>
      <c r="F5" s="22"/>
      <c r="G5" s="22"/>
      <c r="H5" s="22"/>
      <c r="I5" s="22"/>
      <c r="J5" s="22"/>
      <c r="K5" s="22"/>
      <c r="L5" s="22"/>
    </row>
    <row r="6" spans="1:12">
      <c r="A6" s="593"/>
      <c r="B6" s="1751"/>
      <c r="C6" s="334" t="s">
        <v>716</v>
      </c>
      <c r="D6" s="334" t="s">
        <v>715</v>
      </c>
      <c r="E6" s="22"/>
      <c r="F6" s="22"/>
      <c r="G6" s="22"/>
      <c r="H6" s="22"/>
      <c r="I6" s="22"/>
      <c r="J6" s="22"/>
      <c r="K6" s="22"/>
      <c r="L6" s="22"/>
    </row>
    <row r="7" spans="1:12">
      <c r="A7" s="593"/>
      <c r="B7" s="628" t="s">
        <v>723</v>
      </c>
      <c r="C7" s="526">
        <v>210000</v>
      </c>
      <c r="D7" s="526">
        <v>320000</v>
      </c>
      <c r="E7" s="22"/>
      <c r="F7" s="22"/>
      <c r="G7" s="22"/>
      <c r="H7" s="22"/>
      <c r="I7" s="22"/>
      <c r="J7" s="22"/>
      <c r="K7" s="22"/>
      <c r="L7" s="22"/>
    </row>
    <row r="8" spans="1:12">
      <c r="A8" s="593"/>
      <c r="B8" s="628" t="s">
        <v>722</v>
      </c>
      <c r="C8" s="526">
        <v>200500</v>
      </c>
      <c r="D8" s="526">
        <v>325000</v>
      </c>
      <c r="E8" s="22"/>
      <c r="F8" s="22"/>
      <c r="G8" s="22"/>
      <c r="H8" s="22"/>
      <c r="I8" s="22"/>
      <c r="J8" s="22"/>
      <c r="K8" s="22"/>
      <c r="L8" s="22"/>
    </row>
    <row r="9" spans="1:12">
      <c r="A9" s="22"/>
      <c r="B9" s="628" t="s">
        <v>721</v>
      </c>
      <c r="C9" s="526">
        <v>197500</v>
      </c>
      <c r="D9" s="526">
        <v>330000</v>
      </c>
      <c r="E9" s="22"/>
      <c r="F9" s="22"/>
      <c r="G9" s="22"/>
      <c r="H9" s="22"/>
      <c r="I9" s="22"/>
      <c r="J9" s="22"/>
      <c r="K9" s="22"/>
      <c r="L9" s="22"/>
    </row>
    <row r="10" spans="1:12">
      <c r="A10" s="22"/>
      <c r="B10" s="628" t="s">
        <v>720</v>
      </c>
      <c r="C10" s="526">
        <v>205100</v>
      </c>
      <c r="D10" s="526">
        <v>322000</v>
      </c>
      <c r="E10" s="22"/>
      <c r="F10" s="22"/>
      <c r="G10" s="22"/>
      <c r="H10" s="22"/>
      <c r="I10" s="22"/>
      <c r="J10" s="22"/>
      <c r="K10" s="22"/>
      <c r="L10" s="22"/>
    </row>
    <row r="11" spans="1:12">
      <c r="A11" s="593"/>
      <c r="B11" s="22"/>
      <c r="C11" s="22"/>
      <c r="D11" s="22"/>
      <c r="E11" s="22"/>
      <c r="F11" s="22"/>
      <c r="G11" s="22"/>
      <c r="H11" s="22"/>
      <c r="I11" s="22"/>
      <c r="J11" s="22"/>
      <c r="K11" s="22"/>
      <c r="L11" s="22"/>
    </row>
    <row r="12" spans="1:12">
      <c r="A12" s="22" t="s">
        <v>755</v>
      </c>
      <c r="B12" s="22"/>
      <c r="C12" s="22"/>
      <c r="D12" s="22"/>
      <c r="E12" s="22"/>
      <c r="F12" s="22"/>
      <c r="G12" s="22"/>
      <c r="H12" s="22"/>
      <c r="I12" s="22"/>
      <c r="J12" s="22"/>
      <c r="K12" s="22"/>
      <c r="L12" s="22"/>
    </row>
    <row r="13" spans="1:12">
      <c r="A13" s="22" t="s">
        <v>754</v>
      </c>
      <c r="B13" s="22"/>
      <c r="C13" s="22"/>
      <c r="D13" s="22"/>
      <c r="E13" s="22"/>
      <c r="F13" s="22"/>
      <c r="G13" s="22"/>
      <c r="H13" s="22"/>
      <c r="I13" s="22"/>
      <c r="J13" s="22"/>
      <c r="K13" s="22"/>
      <c r="L13" s="22"/>
    </row>
    <row r="14" spans="1:12">
      <c r="A14" s="22" t="s">
        <v>753</v>
      </c>
      <c r="B14" s="22"/>
      <c r="C14" s="22"/>
      <c r="D14" s="22"/>
      <c r="E14" s="22"/>
      <c r="F14" s="22"/>
      <c r="G14" s="22"/>
      <c r="H14" s="22"/>
      <c r="I14" s="22"/>
      <c r="J14" s="22"/>
      <c r="K14" s="22"/>
      <c r="L14" s="22"/>
    </row>
    <row r="15" spans="1:12">
      <c r="A15" s="22"/>
      <c r="B15" s="22"/>
      <c r="C15" s="22"/>
      <c r="D15" s="22"/>
      <c r="E15" s="22"/>
      <c r="F15" s="22"/>
      <c r="G15" s="22"/>
      <c r="H15" s="22"/>
      <c r="I15" s="22"/>
      <c r="J15" s="22"/>
      <c r="K15" s="22"/>
      <c r="L15" s="22"/>
    </row>
    <row r="16" spans="1:12">
      <c r="A16" s="418"/>
      <c r="B16" s="418"/>
      <c r="C16" s="418"/>
      <c r="D16" s="418"/>
      <c r="E16" s="418"/>
      <c r="F16" s="418"/>
      <c r="G16" s="418"/>
      <c r="H16" s="418"/>
      <c r="I16" s="418"/>
      <c r="J16" s="418"/>
      <c r="K16" s="418"/>
      <c r="L16" s="418"/>
    </row>
    <row r="17" spans="1:18">
      <c r="A17" s="577" t="s">
        <v>80</v>
      </c>
      <c r="B17" s="22" t="s">
        <v>752</v>
      </c>
      <c r="C17" s="22"/>
      <c r="D17" s="22"/>
      <c r="E17" s="22"/>
      <c r="F17" s="22"/>
      <c r="G17" s="22"/>
      <c r="H17" s="22"/>
      <c r="I17" s="22"/>
      <c r="J17" s="22"/>
      <c r="K17" s="22"/>
      <c r="L17" s="22"/>
      <c r="M17" s="328"/>
      <c r="N17" s="328"/>
      <c r="O17" s="328"/>
      <c r="P17" s="328"/>
      <c r="Q17" s="328"/>
      <c r="R17" s="328"/>
    </row>
    <row r="18" spans="1:18">
      <c r="A18" s="2"/>
      <c r="B18" s="2"/>
      <c r="C18" s="2"/>
      <c r="D18" s="2"/>
      <c r="E18" s="2"/>
      <c r="F18" s="2"/>
      <c r="G18" s="22"/>
      <c r="H18" s="22"/>
      <c r="I18" s="22"/>
      <c r="J18" s="22"/>
      <c r="K18" s="22"/>
      <c r="L18" s="22"/>
    </row>
    <row r="19" spans="1:18">
      <c r="A19" s="37"/>
      <c r="B19" s="37"/>
      <c r="C19" s="37"/>
      <c r="D19" s="37"/>
      <c r="E19" s="37"/>
      <c r="F19" s="37"/>
      <c r="G19" s="37"/>
      <c r="H19" s="37"/>
      <c r="I19" s="37"/>
      <c r="J19" s="37"/>
      <c r="K19" s="37"/>
      <c r="L19" s="37"/>
      <c r="M19" s="37"/>
    </row>
    <row r="20" spans="1:18">
      <c r="A20" s="37" t="s">
        <v>650</v>
      </c>
      <c r="B20" s="37"/>
      <c r="C20" s="37"/>
      <c r="D20" s="37"/>
      <c r="E20" s="37"/>
      <c r="F20" s="37"/>
      <c r="G20" s="37"/>
      <c r="H20" s="37"/>
      <c r="I20" s="37"/>
      <c r="J20" s="37"/>
      <c r="K20" s="37"/>
      <c r="L20" s="37"/>
      <c r="M20" s="37"/>
      <c r="N20" s="328"/>
    </row>
    <row r="21" spans="1:18">
      <c r="A21" s="37"/>
      <c r="B21" s="37"/>
      <c r="C21" s="633"/>
      <c r="D21" s="633"/>
      <c r="E21" s="1776" t="s">
        <v>751</v>
      </c>
      <c r="F21" s="1776"/>
      <c r="I21" s="37"/>
      <c r="J21" s="37"/>
      <c r="K21" s="37"/>
      <c r="L21" s="37"/>
      <c r="M21" s="37"/>
      <c r="N21" s="328"/>
    </row>
    <row r="22" spans="1:18" ht="31.2">
      <c r="A22" s="37"/>
      <c r="B22" s="565" t="s">
        <v>728</v>
      </c>
      <c r="C22" s="565" t="s">
        <v>750</v>
      </c>
      <c r="D22" s="565" t="s">
        <v>749</v>
      </c>
      <c r="E22" s="565" t="s">
        <v>716</v>
      </c>
      <c r="F22" s="565" t="s">
        <v>715</v>
      </c>
      <c r="I22" s="37"/>
      <c r="J22" s="37"/>
      <c r="K22" s="37"/>
      <c r="L22" s="37"/>
      <c r="M22" s="37"/>
      <c r="N22" s="328"/>
    </row>
    <row r="23" spans="1:18">
      <c r="A23" s="37"/>
      <c r="B23" s="632" t="s">
        <v>723</v>
      </c>
      <c r="C23" s="327">
        <v>1.5</v>
      </c>
      <c r="D23" s="327">
        <f>C23/12</f>
        <v>0.125</v>
      </c>
      <c r="E23" s="609">
        <f t="shared" ref="E23:F26" si="0">C7*$D23</f>
        <v>26250</v>
      </c>
      <c r="F23" s="609">
        <f t="shared" si="0"/>
        <v>40000</v>
      </c>
      <c r="I23" s="37"/>
      <c r="J23" s="37"/>
      <c r="K23" s="37"/>
      <c r="L23" s="37"/>
      <c r="M23" s="37"/>
      <c r="N23" s="328"/>
    </row>
    <row r="24" spans="1:18">
      <c r="A24" s="37"/>
      <c r="B24" s="632" t="s">
        <v>722</v>
      </c>
      <c r="C24" s="327">
        <f>C23+3</f>
        <v>4.5</v>
      </c>
      <c r="D24" s="327">
        <f>C24/12</f>
        <v>0.375</v>
      </c>
      <c r="E24" s="609">
        <f t="shared" si="0"/>
        <v>75187.5</v>
      </c>
      <c r="F24" s="609">
        <f t="shared" si="0"/>
        <v>121875</v>
      </c>
      <c r="I24" s="37"/>
      <c r="J24" s="37"/>
      <c r="K24" s="37"/>
      <c r="L24" s="37"/>
      <c r="M24" s="37"/>
      <c r="N24" s="328"/>
    </row>
    <row r="25" spans="1:18">
      <c r="B25" s="632" t="s">
        <v>721</v>
      </c>
      <c r="C25" s="327">
        <f>C24+3</f>
        <v>7.5</v>
      </c>
      <c r="D25" s="327">
        <f>C25/12</f>
        <v>0.625</v>
      </c>
      <c r="E25" s="609">
        <f t="shared" si="0"/>
        <v>123437.5</v>
      </c>
      <c r="F25" s="609">
        <f t="shared" si="0"/>
        <v>206250</v>
      </c>
      <c r="M25" s="328"/>
      <c r="N25" s="328"/>
    </row>
    <row r="26" spans="1:18">
      <c r="B26" s="631" t="s">
        <v>720</v>
      </c>
      <c r="C26" s="576">
        <f>C25+3</f>
        <v>10.5</v>
      </c>
      <c r="D26" s="576">
        <f>C26/12</f>
        <v>0.875</v>
      </c>
      <c r="E26" s="630">
        <f t="shared" si="0"/>
        <v>179462.5</v>
      </c>
      <c r="F26" s="630">
        <f t="shared" si="0"/>
        <v>281750</v>
      </c>
      <c r="M26" s="328"/>
      <c r="N26" s="328"/>
    </row>
    <row r="27" spans="1:18">
      <c r="B27" s="629" t="s">
        <v>748</v>
      </c>
      <c r="C27" s="629"/>
      <c r="D27" s="629"/>
      <c r="E27" s="609">
        <f>SUM(E23:E26)</f>
        <v>404337.5</v>
      </c>
      <c r="F27" s="609">
        <f>SUM(F23:F26)</f>
        <v>649875</v>
      </c>
      <c r="M27" s="328"/>
      <c r="N27" s="328"/>
    </row>
    <row r="28" spans="1:18">
      <c r="M28" s="328"/>
      <c r="N28" s="328"/>
    </row>
    <row r="29" spans="1:18">
      <c r="A29" s="22" t="s">
        <v>747</v>
      </c>
      <c r="B29" s="22"/>
      <c r="C29" s="22"/>
      <c r="D29" s="22"/>
      <c r="E29" s="22"/>
      <c r="F29" s="22"/>
      <c r="G29" s="22"/>
      <c r="H29" s="22"/>
      <c r="I29" s="22"/>
      <c r="J29" s="22"/>
      <c r="K29" s="22"/>
      <c r="L29" s="2"/>
      <c r="M29" s="328"/>
      <c r="N29" s="328"/>
    </row>
    <row r="30" spans="1:18">
      <c r="A30" s="22"/>
      <c r="B30" s="22"/>
      <c r="C30" s="22"/>
      <c r="D30" s="22"/>
      <c r="E30" s="22"/>
      <c r="F30" s="22"/>
      <c r="G30" s="22"/>
      <c r="H30" s="22"/>
      <c r="I30" s="22"/>
      <c r="J30" s="22"/>
      <c r="K30" s="22"/>
      <c r="L30" s="2"/>
      <c r="M30" s="328"/>
      <c r="N30" s="328"/>
    </row>
    <row r="31" spans="1:18">
      <c r="A31" s="22"/>
      <c r="B31" s="1751" t="s">
        <v>746</v>
      </c>
      <c r="C31" s="1751"/>
      <c r="D31" s="1751"/>
      <c r="E31" s="22"/>
      <c r="F31" s="22"/>
      <c r="G31" s="22"/>
      <c r="H31" s="22"/>
      <c r="I31" s="22"/>
      <c r="J31" s="22"/>
      <c r="K31" s="22"/>
      <c r="L31" s="2"/>
      <c r="M31" s="328"/>
      <c r="N31" s="328"/>
    </row>
    <row r="32" spans="1:18">
      <c r="A32" s="22"/>
      <c r="B32" s="607"/>
      <c r="C32" s="334" t="s">
        <v>716</v>
      </c>
      <c r="D32" s="334" t="s">
        <v>715</v>
      </c>
      <c r="E32" s="22"/>
      <c r="F32" s="22"/>
      <c r="G32" s="22"/>
      <c r="H32" s="22"/>
      <c r="I32" s="22"/>
      <c r="J32" s="22"/>
      <c r="K32" s="22"/>
      <c r="L32" s="2"/>
      <c r="M32" s="328"/>
      <c r="N32" s="328"/>
    </row>
    <row r="33" spans="1:14">
      <c r="A33" s="22"/>
      <c r="B33" s="628" t="s">
        <v>723</v>
      </c>
      <c r="C33" s="627">
        <v>0.73599999999999999</v>
      </c>
      <c r="D33" s="627">
        <v>0.71199999999999997</v>
      </c>
      <c r="E33" s="22"/>
      <c r="F33" s="22"/>
      <c r="G33" s="22"/>
      <c r="H33" s="22"/>
      <c r="I33" s="22"/>
      <c r="J33" s="22"/>
      <c r="K33" s="22"/>
      <c r="L33" s="2"/>
      <c r="M33" s="328"/>
      <c r="N33" s="328"/>
    </row>
    <row r="34" spans="1:14">
      <c r="A34" s="22"/>
      <c r="B34" s="628" t="s">
        <v>722</v>
      </c>
      <c r="C34" s="627">
        <v>0.71899999999999997</v>
      </c>
      <c r="D34" s="627">
        <v>0.72499999999999998</v>
      </c>
      <c r="E34" s="22"/>
      <c r="F34" s="22"/>
      <c r="G34" s="22"/>
      <c r="H34" s="22"/>
      <c r="I34" s="22"/>
      <c r="J34" s="22"/>
      <c r="K34" s="22"/>
      <c r="L34" s="2"/>
      <c r="M34" s="328"/>
      <c r="N34" s="328"/>
    </row>
    <row r="35" spans="1:14">
      <c r="A35" s="22"/>
      <c r="B35" s="628" t="s">
        <v>721</v>
      </c>
      <c r="C35" s="627">
        <v>0.71499999999999997</v>
      </c>
      <c r="D35" s="627">
        <v>0.77700000000000002</v>
      </c>
      <c r="E35" s="22"/>
      <c r="F35" s="22"/>
      <c r="G35" s="22"/>
      <c r="H35" s="22"/>
      <c r="I35" s="22"/>
      <c r="J35" s="22"/>
      <c r="K35" s="22"/>
      <c r="L35" s="2"/>
      <c r="M35" s="328"/>
      <c r="N35" s="328"/>
    </row>
    <row r="36" spans="1:14">
      <c r="A36" s="22"/>
      <c r="B36" s="628" t="s">
        <v>720</v>
      </c>
      <c r="C36" s="627">
        <v>0.73099999999999998</v>
      </c>
      <c r="D36" s="627">
        <v>0.69799999999999995</v>
      </c>
      <c r="E36" s="22"/>
      <c r="F36" s="22"/>
      <c r="G36" s="22"/>
      <c r="H36" s="22"/>
      <c r="I36" s="22"/>
      <c r="J36" s="22"/>
      <c r="K36" s="22"/>
      <c r="L36" s="2"/>
      <c r="M36" s="328"/>
      <c r="N36" s="328"/>
    </row>
    <row r="37" spans="1:14">
      <c r="A37" s="22"/>
      <c r="B37" s="22"/>
      <c r="C37" s="22"/>
      <c r="D37" s="22"/>
      <c r="E37" s="22"/>
      <c r="F37" s="22"/>
      <c r="G37" s="22"/>
      <c r="H37" s="22"/>
      <c r="I37" s="22"/>
      <c r="J37" s="22"/>
      <c r="K37" s="22"/>
      <c r="L37" s="2"/>
      <c r="M37" s="328"/>
      <c r="N37" s="328"/>
    </row>
    <row r="38" spans="1:14">
      <c r="A38" s="22"/>
      <c r="B38" s="1751" t="s">
        <v>745</v>
      </c>
      <c r="C38" s="1751"/>
      <c r="D38" s="1751"/>
      <c r="E38" s="22"/>
      <c r="F38" s="22"/>
      <c r="G38" s="22"/>
      <c r="H38" s="22"/>
      <c r="I38" s="22"/>
      <c r="J38" s="22"/>
      <c r="K38" s="22"/>
      <c r="L38" s="2"/>
      <c r="M38" s="328"/>
      <c r="N38" s="328"/>
    </row>
    <row r="39" spans="1:14">
      <c r="A39" s="22"/>
      <c r="B39" s="607"/>
      <c r="C39" s="334" t="s">
        <v>716</v>
      </c>
      <c r="D39" s="334" t="s">
        <v>715</v>
      </c>
      <c r="E39" s="22"/>
      <c r="F39" s="22"/>
      <c r="G39" s="22"/>
      <c r="H39" s="22"/>
      <c r="I39" s="22"/>
      <c r="J39" s="22"/>
      <c r="K39" s="22"/>
      <c r="L39" s="2"/>
      <c r="M39" s="328"/>
      <c r="N39" s="328"/>
    </row>
    <row r="40" spans="1:14">
      <c r="A40" s="22"/>
      <c r="B40" s="628" t="s">
        <v>744</v>
      </c>
      <c r="C40" s="627">
        <v>0.72</v>
      </c>
      <c r="D40" s="627">
        <v>0.7</v>
      </c>
      <c r="E40" s="22"/>
      <c r="F40" s="22"/>
      <c r="G40" s="22"/>
      <c r="H40" s="22"/>
      <c r="I40" s="22"/>
      <c r="J40" s="22"/>
      <c r="K40" s="22"/>
      <c r="L40" s="2"/>
      <c r="M40" s="328"/>
      <c r="N40" s="328"/>
    </row>
    <row r="41" spans="1:14">
      <c r="A41" s="22"/>
      <c r="B41" s="628" t="s">
        <v>743</v>
      </c>
      <c r="C41" s="627">
        <v>0.72</v>
      </c>
      <c r="D41" s="627">
        <v>0.7</v>
      </c>
      <c r="E41" s="22"/>
      <c r="F41" s="22"/>
      <c r="G41" s="22"/>
      <c r="H41" s="22"/>
      <c r="I41" s="22"/>
      <c r="J41" s="22"/>
      <c r="K41" s="22"/>
      <c r="L41" s="2"/>
      <c r="M41" s="328"/>
      <c r="N41" s="328"/>
    </row>
    <row r="42" spans="1:14">
      <c r="A42" s="22"/>
      <c r="B42" s="628" t="s">
        <v>742</v>
      </c>
      <c r="C42" s="627">
        <v>0.72</v>
      </c>
      <c r="D42" s="627">
        <v>0.8</v>
      </c>
      <c r="E42" s="22"/>
      <c r="F42" s="22"/>
      <c r="G42" s="22"/>
      <c r="H42" s="22"/>
      <c r="I42" s="22"/>
      <c r="J42" s="22"/>
      <c r="K42" s="22"/>
      <c r="L42" s="2"/>
      <c r="M42" s="328"/>
      <c r="N42" s="328"/>
    </row>
    <row r="43" spans="1:14">
      <c r="A43" s="22"/>
      <c r="B43" s="628" t="s">
        <v>741</v>
      </c>
      <c r="C43" s="627">
        <v>0.72</v>
      </c>
      <c r="D43" s="627">
        <v>0.7</v>
      </c>
      <c r="E43" s="22"/>
      <c r="F43" s="22"/>
      <c r="G43" s="22"/>
      <c r="H43" s="22"/>
      <c r="I43" s="22"/>
      <c r="J43" s="22"/>
      <c r="K43" s="22"/>
      <c r="L43" s="2"/>
      <c r="M43" s="328"/>
      <c r="N43" s="328"/>
    </row>
    <row r="44" spans="1:14">
      <c r="A44" s="22"/>
      <c r="B44" s="22"/>
      <c r="C44" s="22"/>
      <c r="D44" s="22"/>
      <c r="E44" s="22"/>
      <c r="F44" s="22"/>
      <c r="G44" s="22"/>
      <c r="H44" s="22"/>
      <c r="I44" s="22"/>
      <c r="J44" s="22"/>
      <c r="K44" s="22"/>
      <c r="L44" s="2"/>
      <c r="M44" s="328"/>
      <c r="N44" s="328"/>
    </row>
    <row r="45" spans="1:14">
      <c r="A45" s="22" t="s">
        <v>740</v>
      </c>
      <c r="B45" s="22"/>
      <c r="C45" s="22"/>
      <c r="D45" s="22"/>
      <c r="E45" s="22"/>
      <c r="F45" s="22"/>
      <c r="G45" s="22"/>
      <c r="H45" s="22"/>
      <c r="I45" s="22"/>
      <c r="J45" s="22"/>
      <c r="K45" s="22"/>
      <c r="L45" s="2"/>
      <c r="M45" s="328"/>
      <c r="N45" s="328"/>
    </row>
    <row r="46" spans="1:14">
      <c r="A46" s="22" t="s">
        <v>739</v>
      </c>
      <c r="B46" s="22"/>
      <c r="C46" s="22"/>
      <c r="D46" s="22"/>
      <c r="E46" s="22"/>
      <c r="F46" s="22"/>
      <c r="G46" s="22"/>
      <c r="H46" s="22"/>
      <c r="I46" s="22"/>
      <c r="J46" s="22"/>
      <c r="K46" s="22"/>
      <c r="L46" s="2"/>
      <c r="M46" s="328"/>
      <c r="N46" s="328"/>
    </row>
    <row r="47" spans="1:14">
      <c r="A47" s="22"/>
      <c r="B47" s="22"/>
      <c r="C47" s="626"/>
      <c r="D47" s="22"/>
      <c r="E47" s="22"/>
      <c r="F47" s="619"/>
      <c r="G47" s="22"/>
      <c r="H47" s="22"/>
      <c r="I47" s="22"/>
      <c r="J47" s="22"/>
      <c r="K47" s="22"/>
      <c r="L47" s="2"/>
      <c r="M47" s="328"/>
      <c r="N47" s="328"/>
    </row>
    <row r="48" spans="1:14">
      <c r="A48" s="22"/>
      <c r="B48" s="1777" t="s">
        <v>675</v>
      </c>
      <c r="C48" s="624">
        <v>7.4999999999999997E-2</v>
      </c>
      <c r="D48" s="541" t="s">
        <v>738</v>
      </c>
      <c r="E48" s="620"/>
      <c r="F48" s="619"/>
      <c r="G48" s="22"/>
      <c r="H48" s="22"/>
      <c r="I48" s="22"/>
      <c r="J48" s="22"/>
      <c r="K48" s="22"/>
      <c r="L48" s="2"/>
      <c r="M48" s="328"/>
      <c r="N48" s="328"/>
    </row>
    <row r="49" spans="1:14">
      <c r="A49" s="22"/>
      <c r="B49" s="1777"/>
      <c r="C49" s="624">
        <v>0.1</v>
      </c>
      <c r="D49" s="541" t="s">
        <v>737</v>
      </c>
      <c r="E49" s="620"/>
      <c r="F49" s="619"/>
      <c r="G49" s="22"/>
      <c r="H49" s="22"/>
      <c r="I49" s="22"/>
      <c r="J49" s="22"/>
      <c r="K49" s="22"/>
      <c r="L49" s="2"/>
      <c r="M49" s="328"/>
      <c r="N49" s="328"/>
    </row>
    <row r="50" spans="1:14">
      <c r="A50" s="22"/>
      <c r="B50" s="361" t="s">
        <v>736</v>
      </c>
      <c r="C50" s="624">
        <v>0.05</v>
      </c>
      <c r="D50" s="541" t="s">
        <v>734</v>
      </c>
      <c r="E50" s="620"/>
      <c r="F50" s="619"/>
      <c r="G50" s="22"/>
      <c r="H50" s="22"/>
      <c r="I50" s="22"/>
      <c r="J50" s="22"/>
      <c r="K50" s="22"/>
      <c r="L50" s="2"/>
      <c r="M50" s="328"/>
      <c r="N50" s="328"/>
    </row>
    <row r="51" spans="1:14" ht="31.2">
      <c r="A51" s="22"/>
      <c r="B51" s="623" t="s">
        <v>735</v>
      </c>
      <c r="C51" s="622">
        <v>0.15</v>
      </c>
      <c r="D51" s="621" t="s">
        <v>734</v>
      </c>
      <c r="E51" s="620"/>
      <c r="F51" s="619"/>
      <c r="G51" s="22"/>
      <c r="H51" s="22"/>
      <c r="I51" s="22"/>
      <c r="J51" s="22"/>
      <c r="K51" s="22"/>
      <c r="L51" s="2"/>
      <c r="M51" s="328"/>
      <c r="N51" s="328"/>
    </row>
    <row r="52" spans="1:14">
      <c r="A52" s="22"/>
      <c r="B52" s="22"/>
      <c r="C52" s="22"/>
      <c r="D52" s="619"/>
      <c r="E52" s="22"/>
      <c r="F52" s="22"/>
      <c r="G52" s="22"/>
      <c r="H52" s="22"/>
      <c r="I52" s="22"/>
      <c r="J52" s="22"/>
      <c r="K52" s="22"/>
      <c r="L52" s="2"/>
      <c r="M52" s="328"/>
      <c r="N52" s="328"/>
    </row>
    <row r="53" spans="1:14">
      <c r="A53" s="22" t="s">
        <v>733</v>
      </c>
      <c r="B53" s="22"/>
      <c r="C53" s="22"/>
      <c r="D53" s="22"/>
      <c r="E53" s="22"/>
      <c r="F53" s="22"/>
      <c r="G53" s="22"/>
      <c r="H53" s="22"/>
      <c r="I53" s="22"/>
      <c r="J53" s="22"/>
      <c r="K53" s="22"/>
      <c r="L53" s="2"/>
      <c r="M53" s="328"/>
      <c r="N53" s="328"/>
    </row>
    <row r="54" spans="1:14">
      <c r="A54" s="593"/>
      <c r="B54" s="22"/>
      <c r="C54" s="22"/>
      <c r="D54" s="22"/>
      <c r="E54" s="22"/>
      <c r="F54" s="22"/>
      <c r="G54" s="22"/>
      <c r="H54" s="22"/>
      <c r="I54" s="22"/>
      <c r="J54" s="22"/>
      <c r="K54" s="22"/>
      <c r="L54" s="22"/>
      <c r="M54" s="328"/>
      <c r="N54" s="328"/>
    </row>
    <row r="55" spans="1:14">
      <c r="A55" s="2"/>
      <c r="B55" s="2"/>
      <c r="C55" s="2"/>
      <c r="D55" s="2"/>
      <c r="E55" s="2"/>
      <c r="F55" s="2"/>
      <c r="G55" s="2"/>
      <c r="H55" s="2"/>
      <c r="I55" s="2"/>
      <c r="J55" s="2"/>
      <c r="K55" s="2"/>
      <c r="L55" s="2"/>
    </row>
    <row r="56" spans="1:14">
      <c r="A56" s="577" t="s">
        <v>9</v>
      </c>
      <c r="B56" s="22" t="s">
        <v>732</v>
      </c>
      <c r="C56" s="22"/>
      <c r="D56" s="22"/>
      <c r="E56" s="22"/>
      <c r="F56" s="22"/>
      <c r="G56" s="22"/>
      <c r="H56" s="22"/>
      <c r="I56" s="22"/>
      <c r="J56" s="22"/>
      <c r="K56" s="22"/>
      <c r="L56" s="22"/>
    </row>
    <row r="57" spans="1:14">
      <c r="A57" s="2"/>
      <c r="B57" s="2"/>
      <c r="C57" s="2"/>
      <c r="D57" s="2"/>
      <c r="E57" s="2"/>
      <c r="F57" s="2"/>
      <c r="G57" s="22"/>
      <c r="H57" s="22"/>
      <c r="I57" s="22"/>
      <c r="J57" s="22"/>
      <c r="K57" s="22"/>
      <c r="L57" s="22"/>
    </row>
    <row r="58" spans="1:14">
      <c r="A58" s="37"/>
      <c r="B58" s="37"/>
      <c r="C58" s="37"/>
      <c r="D58" s="37"/>
      <c r="E58" s="37"/>
      <c r="F58" s="37"/>
      <c r="G58" s="37"/>
      <c r="H58" s="37"/>
      <c r="I58" s="37"/>
      <c r="J58" s="37"/>
      <c r="K58" s="37"/>
      <c r="L58" s="37"/>
    </row>
    <row r="59" spans="1:14">
      <c r="A59" s="37" t="s">
        <v>650</v>
      </c>
      <c r="B59" s="37"/>
      <c r="C59" s="37"/>
      <c r="D59" s="37"/>
      <c r="E59" s="37"/>
      <c r="F59" s="37"/>
      <c r="G59" s="37"/>
      <c r="H59" s="37"/>
      <c r="I59" s="37"/>
      <c r="J59" s="37"/>
      <c r="K59" s="37"/>
      <c r="L59" s="37"/>
    </row>
    <row r="60" spans="1:14">
      <c r="A60" s="37"/>
      <c r="B60" s="1774" t="s">
        <v>731</v>
      </c>
      <c r="C60" s="1774"/>
      <c r="D60" s="1774"/>
      <c r="E60" s="1774"/>
      <c r="F60" s="1774"/>
      <c r="G60" s="1774"/>
      <c r="H60" s="37"/>
      <c r="I60" s="37"/>
      <c r="J60" s="37"/>
    </row>
    <row r="61" spans="1:14" ht="31.2">
      <c r="A61" s="37"/>
      <c r="B61" s="618" t="s">
        <v>728</v>
      </c>
      <c r="C61" s="246" t="s">
        <v>727</v>
      </c>
      <c r="D61" s="246" t="s">
        <v>726</v>
      </c>
      <c r="E61" s="246" t="s">
        <v>725</v>
      </c>
      <c r="F61" s="246" t="s">
        <v>724</v>
      </c>
      <c r="G61" s="618" t="s">
        <v>730</v>
      </c>
      <c r="H61" s="37"/>
      <c r="I61" s="37"/>
      <c r="J61" s="37"/>
    </row>
    <row r="62" spans="1:14">
      <c r="B62" s="488" t="s">
        <v>723</v>
      </c>
      <c r="C62" s="246">
        <v>1.5</v>
      </c>
      <c r="D62" s="246"/>
      <c r="E62" s="246"/>
      <c r="F62" s="246"/>
      <c r="G62" s="246">
        <f>SUM(C62:F62)</f>
        <v>1.5</v>
      </c>
    </row>
    <row r="63" spans="1:14">
      <c r="B63" s="488" t="s">
        <v>722</v>
      </c>
      <c r="C63" s="246">
        <v>3</v>
      </c>
      <c r="D63" s="246">
        <v>1.5</v>
      </c>
      <c r="E63" s="246"/>
      <c r="F63" s="246"/>
      <c r="G63" s="246">
        <f>SUM(C63:F63)</f>
        <v>4.5</v>
      </c>
    </row>
    <row r="64" spans="1:14">
      <c r="B64" s="488" t="s">
        <v>721</v>
      </c>
      <c r="C64" s="246">
        <v>3</v>
      </c>
      <c r="D64" s="246">
        <v>3</v>
      </c>
      <c r="E64" s="246">
        <v>1.5</v>
      </c>
      <c r="F64" s="246"/>
      <c r="G64" s="246">
        <f>SUM(C64:F64)</f>
        <v>7.5</v>
      </c>
    </row>
    <row r="65" spans="2:7">
      <c r="B65" s="488" t="s">
        <v>720</v>
      </c>
      <c r="C65" s="246">
        <v>3</v>
      </c>
      <c r="D65" s="246">
        <v>3</v>
      </c>
      <c r="E65" s="246">
        <v>3</v>
      </c>
      <c r="F65" s="246">
        <v>1.5</v>
      </c>
      <c r="G65" s="246">
        <f>SUM(C65:F65)</f>
        <v>10.5</v>
      </c>
    </row>
    <row r="67" spans="2:7">
      <c r="B67" s="1774" t="s">
        <v>729</v>
      </c>
      <c r="C67" s="1774"/>
      <c r="D67" s="1774"/>
      <c r="E67" s="1774"/>
      <c r="F67" s="1774"/>
      <c r="G67" s="1774"/>
    </row>
    <row r="68" spans="2:7">
      <c r="B68" s="618" t="s">
        <v>728</v>
      </c>
      <c r="C68" s="246" t="s">
        <v>727</v>
      </c>
      <c r="D68" s="246" t="s">
        <v>726</v>
      </c>
      <c r="E68" s="246" t="s">
        <v>725</v>
      </c>
      <c r="F68" s="246" t="s">
        <v>724</v>
      </c>
      <c r="G68" s="246" t="s">
        <v>98</v>
      </c>
    </row>
    <row r="69" spans="2:7">
      <c r="B69" s="488" t="s">
        <v>723</v>
      </c>
      <c r="C69" s="614">
        <f>$F23*C62/$G62</f>
        <v>40000</v>
      </c>
      <c r="D69" s="614"/>
      <c r="E69" s="614"/>
      <c r="F69" s="614"/>
      <c r="G69" s="617">
        <f>SUM(C69:F69)</f>
        <v>40000</v>
      </c>
    </row>
    <row r="70" spans="2:7">
      <c r="B70" s="488" t="s">
        <v>722</v>
      </c>
      <c r="C70" s="614">
        <f>$F24*C63/$G63</f>
        <v>81250</v>
      </c>
      <c r="D70" s="614">
        <f>$F24*D63/$G63</f>
        <v>40625</v>
      </c>
      <c r="E70" s="614"/>
      <c r="F70" s="614"/>
      <c r="G70" s="617">
        <f>SUM(C70:F70)</f>
        <v>121875</v>
      </c>
    </row>
    <row r="71" spans="2:7">
      <c r="B71" s="488" t="s">
        <v>721</v>
      </c>
      <c r="C71" s="614">
        <f>$F25*C64/$G64</f>
        <v>82500</v>
      </c>
      <c r="D71" s="614">
        <f>$F25*D64/$G64</f>
        <v>82500</v>
      </c>
      <c r="E71" s="614">
        <f>$F25*E64/$G64</f>
        <v>41250</v>
      </c>
      <c r="F71" s="614"/>
      <c r="G71" s="617">
        <f>SUM(C71:F71)</f>
        <v>206250</v>
      </c>
    </row>
    <row r="72" spans="2:7">
      <c r="B72" s="488" t="s">
        <v>720</v>
      </c>
      <c r="C72" s="614">
        <f>$F26*C65/$G65</f>
        <v>80500</v>
      </c>
      <c r="D72" s="614">
        <f>$F26*D65/$G65</f>
        <v>80500</v>
      </c>
      <c r="E72" s="614">
        <f>$F26*E65/$G65</f>
        <v>80500</v>
      </c>
      <c r="F72" s="614">
        <f>$F26*F65/$G65</f>
        <v>40250</v>
      </c>
      <c r="G72" s="617">
        <f>SUM(C72:F72)</f>
        <v>281750</v>
      </c>
    </row>
    <row r="73" spans="2:7">
      <c r="B73" s="246" t="s">
        <v>98</v>
      </c>
      <c r="C73" s="614">
        <f>SUM(C69:C72)</f>
        <v>284250</v>
      </c>
      <c r="D73" s="614">
        <f>SUM(D69:D72)</f>
        <v>203625</v>
      </c>
      <c r="E73" s="614">
        <f>SUM(E69:E72)</f>
        <v>121750</v>
      </c>
      <c r="F73" s="614">
        <f>SUM(F69:F72)</f>
        <v>40250</v>
      </c>
      <c r="G73" s="614">
        <f>SUM(G69:G72)</f>
        <v>649875</v>
      </c>
    </row>
    <row r="74" spans="2:7">
      <c r="B74" s="615" t="s">
        <v>719</v>
      </c>
      <c r="C74" s="616">
        <f>D40</f>
        <v>0.7</v>
      </c>
      <c r="D74" s="616">
        <f>D41</f>
        <v>0.7</v>
      </c>
      <c r="E74" s="616">
        <f>D42</f>
        <v>0.8</v>
      </c>
      <c r="F74" s="616">
        <f>D43</f>
        <v>0.7</v>
      </c>
      <c r="G74" s="246"/>
    </row>
    <row r="75" spans="2:7">
      <c r="B75" s="615" t="s">
        <v>718</v>
      </c>
      <c r="C75" s="614">
        <f>C73*C74</f>
        <v>198975</v>
      </c>
      <c r="D75" s="614">
        <f>D73*D74</f>
        <v>142537.5</v>
      </c>
      <c r="E75" s="614">
        <f>E73*E74</f>
        <v>97400</v>
      </c>
      <c r="F75" s="614">
        <f>F73*F74</f>
        <v>28175</v>
      </c>
      <c r="G75" s="614">
        <f>SUM(C75:F75)</f>
        <v>467087.5</v>
      </c>
    </row>
    <row r="77" spans="2:7">
      <c r="B77" s="37" t="s">
        <v>717</v>
      </c>
      <c r="C77" s="37"/>
      <c r="D77" s="37"/>
      <c r="E77" s="37"/>
      <c r="F77" s="37"/>
      <c r="G77" s="613">
        <f>C40*E27</f>
        <v>291123</v>
      </c>
    </row>
    <row r="79" spans="2:7">
      <c r="B79" s="37"/>
      <c r="C79" s="327" t="s">
        <v>716</v>
      </c>
      <c r="D79" s="612" t="s">
        <v>715</v>
      </c>
    </row>
    <row r="80" spans="2:7">
      <c r="B80" s="37" t="s">
        <v>678</v>
      </c>
      <c r="C80" s="609">
        <f>E27</f>
        <v>404337.5</v>
      </c>
      <c r="D80" s="609">
        <f>F27</f>
        <v>649875</v>
      </c>
    </row>
    <row r="81" spans="1:12">
      <c r="B81" s="37" t="s">
        <v>676</v>
      </c>
      <c r="C81" s="609">
        <f>G77</f>
        <v>291123</v>
      </c>
      <c r="D81" s="609">
        <f>G75</f>
        <v>467087.5</v>
      </c>
    </row>
    <row r="82" spans="1:12">
      <c r="B82" s="37"/>
      <c r="C82" s="37"/>
      <c r="D82" s="611"/>
    </row>
    <row r="83" spans="1:12">
      <c r="B83" s="37"/>
      <c r="C83" s="610">
        <f>C48</f>
        <v>7.4999999999999997E-2</v>
      </c>
      <c r="D83" s="610">
        <f>C49</f>
        <v>0.1</v>
      </c>
    </row>
    <row r="84" spans="1:12">
      <c r="B84" s="37" t="s">
        <v>675</v>
      </c>
      <c r="C84" s="609">
        <f>C81*C83</f>
        <v>21834.224999999999</v>
      </c>
      <c r="D84" s="609">
        <f>D81*D83</f>
        <v>46708.75</v>
      </c>
    </row>
    <row r="85" spans="1:12">
      <c r="B85" s="37" t="s">
        <v>714</v>
      </c>
      <c r="C85" s="609">
        <f>($C51/3)*C80</f>
        <v>20216.875</v>
      </c>
      <c r="D85" s="609">
        <f>($C51/3)*D80</f>
        <v>32493.749999999996</v>
      </c>
    </row>
    <row r="86" spans="1:12">
      <c r="B86" s="37" t="s">
        <v>713</v>
      </c>
      <c r="C86" s="609">
        <f>C81+C84+C85</f>
        <v>333174.09999999998</v>
      </c>
      <c r="D86" s="609">
        <f>D81+D84+D85</f>
        <v>546290</v>
      </c>
    </row>
    <row r="87" spans="1:12">
      <c r="B87" s="37"/>
      <c r="C87" s="609"/>
      <c r="D87" s="609"/>
    </row>
    <row r="88" spans="1:12">
      <c r="B88" s="37" t="s">
        <v>712</v>
      </c>
      <c r="C88" s="609">
        <f>C80-C86</f>
        <v>71163.400000000023</v>
      </c>
      <c r="D88" s="609">
        <f>D80-D86</f>
        <v>103585</v>
      </c>
    </row>
    <row r="90" spans="1:12">
      <c r="A90" s="1775" t="s">
        <v>711</v>
      </c>
      <c r="B90" s="1775"/>
      <c r="C90" s="1775"/>
      <c r="D90" s="1775"/>
      <c r="E90" s="1775"/>
      <c r="F90" s="1775"/>
      <c r="G90" s="1775"/>
      <c r="H90" s="1775"/>
      <c r="I90" s="1775"/>
      <c r="J90" s="1775"/>
      <c r="K90" s="1775"/>
      <c r="L90" s="22"/>
    </row>
    <row r="91" spans="1:12">
      <c r="A91" s="1775"/>
      <c r="B91" s="1775"/>
      <c r="C91" s="1775"/>
      <c r="D91" s="1775"/>
      <c r="E91" s="1775"/>
      <c r="F91" s="1775"/>
      <c r="G91" s="1775"/>
      <c r="H91" s="1775"/>
      <c r="I91" s="1775"/>
      <c r="J91" s="1775"/>
      <c r="K91" s="1775"/>
      <c r="L91" s="22"/>
    </row>
    <row r="92" spans="1:12">
      <c r="A92" s="593"/>
      <c r="B92" s="22"/>
      <c r="C92" s="22"/>
      <c r="D92" s="22"/>
      <c r="E92" s="22"/>
      <c r="F92" s="22"/>
      <c r="G92" s="22"/>
      <c r="H92" s="22"/>
      <c r="I92" s="22"/>
      <c r="J92" s="22"/>
      <c r="K92" s="22"/>
      <c r="L92" s="22"/>
    </row>
    <row r="93" spans="1:12">
      <c r="A93" s="2"/>
      <c r="B93" s="2"/>
      <c r="C93" s="2"/>
      <c r="D93" s="2"/>
      <c r="E93" s="2"/>
      <c r="F93" s="2"/>
      <c r="G93" s="2"/>
      <c r="H93" s="2"/>
      <c r="I93" s="2"/>
      <c r="J93" s="2"/>
      <c r="K93" s="2"/>
      <c r="L93" s="2"/>
    </row>
    <row r="94" spans="1:12">
      <c r="A94" s="577" t="s">
        <v>7</v>
      </c>
      <c r="B94" s="22" t="s">
        <v>710</v>
      </c>
      <c r="C94" s="22"/>
      <c r="D94" s="22"/>
      <c r="E94" s="22"/>
      <c r="F94" s="22"/>
      <c r="G94" s="22"/>
      <c r="H94" s="22"/>
      <c r="I94" s="22"/>
      <c r="J94" s="22"/>
      <c r="K94" s="22"/>
      <c r="L94" s="22"/>
    </row>
    <row r="95" spans="1:12">
      <c r="A95" s="2"/>
      <c r="B95" s="2"/>
      <c r="C95" s="2"/>
      <c r="D95" s="2"/>
      <c r="E95" s="2"/>
      <c r="F95" s="2"/>
      <c r="G95" s="22"/>
      <c r="H95" s="22"/>
      <c r="I95" s="22"/>
      <c r="J95" s="22"/>
      <c r="K95" s="22"/>
      <c r="L95" s="22"/>
    </row>
    <row r="96" spans="1:12">
      <c r="A96" s="37"/>
      <c r="B96" s="37"/>
      <c r="C96" s="37"/>
      <c r="D96" s="37"/>
      <c r="E96" s="37"/>
      <c r="F96" s="37"/>
      <c r="G96" s="37"/>
      <c r="H96" s="37"/>
      <c r="I96" s="37"/>
      <c r="J96" s="37"/>
      <c r="K96" s="37"/>
      <c r="L96" s="37"/>
    </row>
    <row r="97" spans="1:14">
      <c r="A97" s="37" t="s">
        <v>650</v>
      </c>
      <c r="B97" s="37"/>
      <c r="C97" s="37"/>
      <c r="D97" s="37"/>
      <c r="E97" s="37"/>
      <c r="F97" s="37"/>
      <c r="G97" s="37"/>
      <c r="H97" s="37"/>
      <c r="I97" s="37"/>
      <c r="J97" s="37"/>
      <c r="K97" s="37"/>
      <c r="L97" s="37"/>
    </row>
    <row r="98" spans="1:14">
      <c r="A98" s="37"/>
      <c r="B98" s="37" t="s">
        <v>709</v>
      </c>
      <c r="C98" s="37"/>
      <c r="D98" s="37"/>
      <c r="E98" s="37"/>
      <c r="F98" s="37"/>
      <c r="G98" s="37"/>
      <c r="H98" s="37"/>
      <c r="I98" s="37"/>
      <c r="J98" s="37"/>
      <c r="K98" s="37"/>
      <c r="L98" s="37"/>
    </row>
    <row r="99" spans="1:14">
      <c r="B99" s="1" t="s">
        <v>708</v>
      </c>
    </row>
    <row r="101" spans="1:14">
      <c r="M101" s="37"/>
      <c r="N101" s="37"/>
    </row>
    <row r="102" spans="1:14">
      <c r="M102" s="37"/>
      <c r="N102" s="37"/>
    </row>
    <row r="103" spans="1:14">
      <c r="M103" s="37"/>
      <c r="N103" s="37"/>
    </row>
  </sheetData>
  <mergeCells count="9">
    <mergeCell ref="B60:G60"/>
    <mergeCell ref="B67:G67"/>
    <mergeCell ref="A90:K91"/>
    <mergeCell ref="B5:B6"/>
    <mergeCell ref="C5:D5"/>
    <mergeCell ref="E21:F21"/>
    <mergeCell ref="B31:D31"/>
    <mergeCell ref="B38:D38"/>
    <mergeCell ref="B48:B49"/>
  </mergeCells>
  <pageMargins left="0.7" right="0.7" top="0.75" bottom="0.75" header="0.3" footer="0.3"/>
  <pageSetup scale="67"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1A43-B4D1-4A30-A032-3756BC87C0D0}">
  <dimension ref="A1:T93"/>
  <sheetViews>
    <sheetView zoomScaleNormal="100" workbookViewId="0"/>
  </sheetViews>
  <sheetFormatPr defaultColWidth="8.88671875" defaultRowHeight="15.6"/>
  <cols>
    <col min="1" max="1" width="14.33203125" style="1" customWidth="1"/>
    <col min="2" max="2" width="13.6640625" style="1" customWidth="1"/>
    <col min="3" max="3" width="16.21875" style="1" customWidth="1"/>
    <col min="4" max="5" width="14.77734375" style="1" customWidth="1"/>
    <col min="6" max="8" width="12.77734375" style="1" customWidth="1"/>
    <col min="9" max="9" width="11.5546875" style="1" bestFit="1" customWidth="1"/>
    <col min="10" max="13" width="8.88671875" style="1"/>
    <col min="14" max="14" width="8.88671875" style="1" customWidth="1"/>
    <col min="15" max="16384" width="8.88671875" style="1"/>
  </cols>
  <sheetData>
    <row r="1" spans="1:12" ht="17.399999999999999">
      <c r="A1" s="23" t="s">
        <v>813</v>
      </c>
      <c r="B1" s="22"/>
      <c r="C1" s="22" t="s">
        <v>668</v>
      </c>
      <c r="D1" s="22"/>
      <c r="E1" s="22"/>
      <c r="F1" s="22"/>
      <c r="G1" s="22"/>
      <c r="H1" s="22"/>
      <c r="I1" s="22"/>
      <c r="J1" s="22"/>
      <c r="K1" s="22"/>
      <c r="L1" s="2"/>
    </row>
    <row r="2" spans="1:12">
      <c r="A2" s="22"/>
      <c r="B2" s="22"/>
      <c r="C2" s="22"/>
      <c r="D2" s="22"/>
      <c r="E2" s="22"/>
      <c r="F2" s="22"/>
      <c r="G2" s="22"/>
      <c r="H2" s="22"/>
      <c r="I2" s="22"/>
      <c r="J2" s="22"/>
      <c r="K2" s="22"/>
      <c r="L2" s="2"/>
    </row>
    <row r="3" spans="1:12">
      <c r="A3" s="22" t="s">
        <v>812</v>
      </c>
      <c r="B3" s="22"/>
      <c r="C3" s="22"/>
      <c r="D3" s="22"/>
      <c r="E3" s="22"/>
      <c r="F3" s="22"/>
      <c r="G3" s="22"/>
      <c r="H3" s="22"/>
      <c r="I3" s="22"/>
      <c r="J3" s="22"/>
      <c r="K3" s="22"/>
      <c r="L3" s="2"/>
    </row>
    <row r="4" spans="1:12">
      <c r="A4" s="593"/>
      <c r="B4" s="22"/>
      <c r="C4" s="22"/>
      <c r="D4" s="22"/>
      <c r="E4" s="22"/>
      <c r="F4" s="22"/>
      <c r="G4" s="22"/>
      <c r="H4" s="22"/>
      <c r="I4" s="22"/>
      <c r="J4" s="22"/>
      <c r="K4" s="22"/>
      <c r="L4" s="22"/>
    </row>
    <row r="5" spans="1:12">
      <c r="A5" s="593"/>
      <c r="B5" s="22"/>
      <c r="C5" s="22"/>
      <c r="D5" s="22"/>
      <c r="E5" s="22"/>
      <c r="F5" s="22"/>
      <c r="G5" s="22"/>
      <c r="H5" s="22"/>
      <c r="I5" s="22"/>
      <c r="J5" s="22"/>
      <c r="K5" s="22"/>
      <c r="L5" s="22"/>
    </row>
    <row r="6" spans="1:12">
      <c r="A6" s="593"/>
      <c r="B6" s="22"/>
      <c r="C6" s="22"/>
      <c r="D6" s="22"/>
      <c r="E6" s="22"/>
      <c r="F6" s="22"/>
      <c r="G6" s="22"/>
      <c r="H6" s="22"/>
      <c r="I6" s="22"/>
      <c r="J6" s="22"/>
      <c r="K6" s="22"/>
      <c r="L6" s="22"/>
    </row>
    <row r="7" spans="1:12" ht="62.4">
      <c r="A7" s="593"/>
      <c r="B7" s="332" t="s">
        <v>786</v>
      </c>
      <c r="C7" s="332" t="s">
        <v>794</v>
      </c>
      <c r="D7" s="332" t="s">
        <v>699</v>
      </c>
      <c r="E7" s="338" t="s">
        <v>785</v>
      </c>
      <c r="F7" s="22"/>
      <c r="G7" s="22"/>
      <c r="H7" s="22"/>
      <c r="I7" s="22"/>
      <c r="J7" s="22"/>
      <c r="K7" s="22"/>
      <c r="L7" s="22"/>
    </row>
    <row r="8" spans="1:12">
      <c r="A8" s="593"/>
      <c r="B8" s="655" t="s">
        <v>779</v>
      </c>
      <c r="C8" s="526">
        <v>523613</v>
      </c>
      <c r="D8" s="526">
        <v>518804</v>
      </c>
      <c r="E8" s="526">
        <v>364784</v>
      </c>
      <c r="F8" s="22"/>
      <c r="G8" s="22"/>
      <c r="H8" s="22"/>
      <c r="I8" s="22"/>
      <c r="J8" s="22"/>
      <c r="K8" s="22"/>
      <c r="L8" s="22"/>
    </row>
    <row r="9" spans="1:12">
      <c r="A9" s="593"/>
      <c r="B9" s="655" t="s">
        <v>778</v>
      </c>
      <c r="C9" s="526">
        <v>517408</v>
      </c>
      <c r="D9" s="526">
        <v>520827</v>
      </c>
      <c r="E9" s="526">
        <v>232393</v>
      </c>
      <c r="F9" s="22"/>
      <c r="G9" s="22"/>
      <c r="H9" s="22"/>
      <c r="I9" s="22"/>
      <c r="J9" s="22"/>
      <c r="K9" s="22"/>
      <c r="L9" s="22"/>
    </row>
    <row r="10" spans="1:12">
      <c r="A10" s="22"/>
      <c r="B10" s="655" t="s">
        <v>777</v>
      </c>
      <c r="C10" s="526">
        <v>500255</v>
      </c>
      <c r="D10" s="526">
        <v>514671</v>
      </c>
      <c r="E10" s="526">
        <v>365518</v>
      </c>
      <c r="F10" s="22"/>
      <c r="G10" s="22"/>
      <c r="H10" s="22"/>
      <c r="I10" s="22"/>
      <c r="J10" s="22"/>
      <c r="K10" s="22"/>
      <c r="L10" s="22"/>
    </row>
    <row r="11" spans="1:12">
      <c r="A11" s="22"/>
      <c r="B11" s="655" t="s">
        <v>776</v>
      </c>
      <c r="C11" s="526">
        <v>518366</v>
      </c>
      <c r="D11" s="526">
        <v>509071</v>
      </c>
      <c r="E11" s="526">
        <v>229396</v>
      </c>
      <c r="F11" s="22"/>
      <c r="G11" s="22"/>
      <c r="H11" s="22"/>
      <c r="I11" s="22"/>
      <c r="J11" s="22"/>
      <c r="K11" s="22"/>
      <c r="L11" s="22"/>
    </row>
    <row r="12" spans="1:12">
      <c r="A12" s="593"/>
      <c r="B12" s="655" t="s">
        <v>775</v>
      </c>
      <c r="C12" s="526">
        <v>506720</v>
      </c>
      <c r="D12" s="526">
        <v>510927</v>
      </c>
      <c r="E12" s="526">
        <v>366542</v>
      </c>
      <c r="F12" s="22"/>
      <c r="G12" s="22"/>
      <c r="H12" s="22"/>
      <c r="I12" s="22"/>
      <c r="J12" s="22"/>
      <c r="K12" s="22"/>
      <c r="L12" s="22"/>
    </row>
    <row r="13" spans="1:12">
      <c r="A13" s="22"/>
      <c r="B13" s="655" t="s">
        <v>774</v>
      </c>
      <c r="C13" s="526">
        <v>518714</v>
      </c>
      <c r="D13" s="526">
        <v>512630</v>
      </c>
      <c r="E13" s="526">
        <v>233315</v>
      </c>
      <c r="F13" s="22"/>
      <c r="G13" s="22"/>
      <c r="H13" s="22"/>
      <c r="I13" s="22"/>
      <c r="J13" s="22"/>
      <c r="K13" s="22"/>
      <c r="L13" s="22"/>
    </row>
    <row r="14" spans="1:12">
      <c r="A14" s="22"/>
      <c r="B14" s="22"/>
      <c r="C14" s="22"/>
      <c r="D14" s="22"/>
      <c r="E14" s="22"/>
      <c r="F14" s="22"/>
      <c r="G14" s="22"/>
      <c r="H14" s="22"/>
      <c r="I14" s="22"/>
      <c r="J14" s="22"/>
      <c r="K14" s="22"/>
      <c r="L14" s="22"/>
    </row>
    <row r="15" spans="1:12">
      <c r="A15" s="22"/>
      <c r="B15" s="408" t="s">
        <v>811</v>
      </c>
      <c r="C15" s="22"/>
      <c r="D15" s="22"/>
      <c r="E15" s="22"/>
      <c r="F15" s="22"/>
      <c r="G15" s="22"/>
      <c r="H15" s="22"/>
      <c r="I15" s="22"/>
      <c r="J15" s="22"/>
      <c r="K15" s="22"/>
      <c r="L15" s="22"/>
    </row>
    <row r="16" spans="1:12" ht="15.6" customHeight="1">
      <c r="A16" s="22"/>
      <c r="B16" s="408" t="s">
        <v>810</v>
      </c>
      <c r="C16" s="408"/>
      <c r="D16" s="408"/>
      <c r="E16" s="408"/>
      <c r="F16" s="408"/>
      <c r="G16" s="408"/>
      <c r="H16" s="408"/>
      <c r="I16" s="408"/>
      <c r="J16" s="408"/>
      <c r="K16" s="408"/>
      <c r="L16" s="408"/>
    </row>
    <row r="17" spans="1:18">
      <c r="A17" s="22"/>
      <c r="B17" s="408" t="s">
        <v>809</v>
      </c>
      <c r="C17" s="22"/>
      <c r="D17" s="22"/>
      <c r="E17" s="22"/>
      <c r="F17" s="22"/>
      <c r="G17" s="22"/>
      <c r="H17" s="22"/>
      <c r="I17" s="22"/>
      <c r="J17" s="22"/>
      <c r="K17" s="22"/>
      <c r="L17" s="22"/>
    </row>
    <row r="18" spans="1:18">
      <c r="A18" s="22"/>
      <c r="B18" s="408" t="s">
        <v>808</v>
      </c>
      <c r="C18" s="22"/>
      <c r="D18" s="22"/>
      <c r="E18" s="22"/>
      <c r="F18" s="22"/>
      <c r="G18" s="22"/>
      <c r="H18" s="22"/>
      <c r="I18" s="22"/>
      <c r="J18" s="22"/>
      <c r="K18" s="22"/>
      <c r="L18" s="22"/>
    </row>
    <row r="19" spans="1:18">
      <c r="A19" s="22"/>
      <c r="B19" s="408" t="s">
        <v>807</v>
      </c>
      <c r="C19" s="22"/>
      <c r="D19" s="22"/>
      <c r="E19" s="22"/>
      <c r="F19" s="22"/>
      <c r="G19" s="22"/>
      <c r="H19" s="22"/>
      <c r="I19" s="22"/>
      <c r="J19" s="22"/>
      <c r="K19" s="22"/>
      <c r="L19" s="22"/>
    </row>
    <row r="20" spans="1:18">
      <c r="A20" s="22"/>
      <c r="B20" s="408" t="s">
        <v>806</v>
      </c>
      <c r="C20" s="539">
        <v>5.7000000000000002E-2</v>
      </c>
      <c r="D20" s="22" t="s">
        <v>805</v>
      </c>
      <c r="E20" s="22"/>
      <c r="F20" s="22"/>
      <c r="G20" s="22"/>
      <c r="H20" s="22"/>
      <c r="I20" s="22"/>
      <c r="J20" s="22"/>
      <c r="K20" s="22"/>
      <c r="L20" s="22"/>
    </row>
    <row r="21" spans="1:18">
      <c r="A21" s="22"/>
      <c r="B21" s="408" t="s">
        <v>804</v>
      </c>
      <c r="C21" s="22"/>
      <c r="D21" s="22"/>
      <c r="E21" s="654">
        <v>0.18</v>
      </c>
      <c r="F21" s="22" t="s">
        <v>803</v>
      </c>
      <c r="G21" s="22"/>
      <c r="H21" s="22"/>
      <c r="I21" s="22"/>
      <c r="J21" s="22"/>
      <c r="K21" s="22"/>
      <c r="L21" s="22"/>
    </row>
    <row r="22" spans="1:18">
      <c r="A22" s="22"/>
      <c r="B22" s="408" t="s">
        <v>802</v>
      </c>
      <c r="C22" s="22"/>
      <c r="D22" s="22"/>
      <c r="E22" s="22"/>
      <c r="F22" s="22"/>
      <c r="G22" s="654">
        <v>0.3</v>
      </c>
      <c r="H22" s="22"/>
      <c r="I22" s="22"/>
      <c r="J22" s="22"/>
      <c r="K22" s="22"/>
      <c r="L22" s="22"/>
    </row>
    <row r="23" spans="1:18">
      <c r="A23" s="22"/>
      <c r="B23" s="408" t="s">
        <v>801</v>
      </c>
      <c r="C23" s="22"/>
      <c r="D23" s="654">
        <v>0.01</v>
      </c>
      <c r="E23" s="22"/>
      <c r="F23" s="22"/>
      <c r="G23" s="22"/>
      <c r="H23" s="22"/>
      <c r="I23" s="22"/>
      <c r="J23" s="22"/>
      <c r="K23" s="22"/>
      <c r="L23" s="22"/>
    </row>
    <row r="24" spans="1:18">
      <c r="A24" s="22"/>
      <c r="B24" s="408" t="s">
        <v>800</v>
      </c>
      <c r="C24" s="22"/>
      <c r="D24" s="22"/>
      <c r="E24" s="22"/>
      <c r="F24" s="22"/>
      <c r="G24" s="22"/>
      <c r="H24" s="22"/>
      <c r="I24" s="22"/>
      <c r="J24" s="22"/>
      <c r="K24" s="22"/>
      <c r="L24" s="22"/>
    </row>
    <row r="25" spans="1:18">
      <c r="A25" s="22"/>
      <c r="B25" s="408" t="s">
        <v>799</v>
      </c>
      <c r="C25" s="22"/>
      <c r="D25" s="22"/>
      <c r="E25" s="653">
        <v>515716</v>
      </c>
      <c r="F25" s="22" t="s">
        <v>798</v>
      </c>
      <c r="G25" s="22"/>
      <c r="H25" s="22"/>
      <c r="I25" s="22"/>
      <c r="J25" s="22"/>
      <c r="K25" s="22"/>
      <c r="L25" s="22"/>
    </row>
    <row r="26" spans="1:18">
      <c r="A26" s="22"/>
      <c r="B26" s="22"/>
      <c r="C26" s="22"/>
      <c r="D26" s="22"/>
      <c r="E26" s="22"/>
      <c r="F26" s="22"/>
      <c r="G26" s="22"/>
      <c r="H26" s="22"/>
      <c r="I26" s="22"/>
      <c r="J26" s="22"/>
      <c r="K26" s="22"/>
      <c r="L26" s="22"/>
    </row>
    <row r="27" spans="1:18">
      <c r="A27" s="2"/>
      <c r="B27" s="2"/>
      <c r="C27" s="2"/>
      <c r="D27" s="2"/>
      <c r="E27" s="2"/>
      <c r="F27" s="2"/>
      <c r="G27" s="2"/>
      <c r="H27" s="2"/>
      <c r="I27" s="2"/>
      <c r="J27" s="2"/>
      <c r="K27" s="2"/>
      <c r="L27" s="2"/>
    </row>
    <row r="28" spans="1:18">
      <c r="A28" s="577" t="s">
        <v>80</v>
      </c>
      <c r="B28" s="22" t="s">
        <v>797</v>
      </c>
      <c r="C28" s="22"/>
      <c r="D28" s="22"/>
      <c r="E28" s="22"/>
      <c r="F28" s="22"/>
      <c r="G28" s="22"/>
      <c r="H28" s="22"/>
      <c r="I28" s="22"/>
      <c r="J28" s="22"/>
      <c r="K28" s="22"/>
      <c r="L28" s="22"/>
      <c r="M28" s="328"/>
      <c r="N28" s="328"/>
      <c r="O28" s="328"/>
      <c r="P28" s="328"/>
      <c r="Q28" s="328"/>
      <c r="R28" s="328"/>
    </row>
    <row r="29" spans="1:18">
      <c r="A29" s="577"/>
      <c r="B29" s="22"/>
      <c r="C29" s="22"/>
      <c r="D29" s="22"/>
      <c r="E29" s="22"/>
      <c r="F29" s="22"/>
      <c r="G29" s="22"/>
      <c r="H29" s="22"/>
      <c r="I29" s="22"/>
      <c r="J29" s="22"/>
      <c r="K29" s="22"/>
      <c r="L29" s="22"/>
      <c r="M29" s="328"/>
      <c r="N29" s="328"/>
      <c r="O29" s="328"/>
      <c r="P29" s="328"/>
      <c r="Q29" s="328"/>
      <c r="R29" s="328"/>
    </row>
    <row r="30" spans="1:18">
      <c r="A30" s="577"/>
      <c r="B30" s="408" t="s">
        <v>350</v>
      </c>
      <c r="C30" s="22" t="s">
        <v>796</v>
      </c>
      <c r="D30" s="22"/>
      <c r="E30" s="22"/>
      <c r="F30" s="22"/>
      <c r="G30" s="22"/>
      <c r="H30" s="22"/>
      <c r="I30" s="22"/>
      <c r="J30" s="22"/>
      <c r="K30" s="22"/>
      <c r="L30" s="22"/>
      <c r="M30" s="328"/>
      <c r="N30" s="328"/>
      <c r="O30" s="328"/>
      <c r="P30" s="328"/>
      <c r="Q30" s="328"/>
      <c r="R30" s="328"/>
    </row>
    <row r="31" spans="1:18">
      <c r="A31" s="577"/>
      <c r="B31" s="22"/>
      <c r="C31" s="22"/>
      <c r="D31" s="22"/>
      <c r="E31" s="22"/>
      <c r="F31" s="22"/>
      <c r="G31" s="22"/>
      <c r="H31" s="22"/>
      <c r="I31" s="22"/>
      <c r="J31" s="22"/>
      <c r="K31" s="22"/>
      <c r="L31" s="22"/>
      <c r="M31" s="328"/>
      <c r="N31" s="328"/>
      <c r="O31" s="328"/>
      <c r="P31" s="328"/>
      <c r="Q31" s="328"/>
      <c r="R31" s="328"/>
    </row>
    <row r="32" spans="1:18">
      <c r="A32" s="577"/>
      <c r="B32" s="22" t="s">
        <v>344</v>
      </c>
      <c r="C32" s="22" t="s">
        <v>795</v>
      </c>
      <c r="D32" s="22"/>
      <c r="E32" s="22"/>
      <c r="F32" s="22"/>
      <c r="G32" s="22"/>
      <c r="H32" s="22"/>
      <c r="I32" s="22"/>
      <c r="J32" s="22"/>
      <c r="K32" s="22"/>
      <c r="L32" s="22"/>
      <c r="M32" s="328"/>
      <c r="N32" s="328"/>
      <c r="O32" s="328"/>
      <c r="P32" s="328"/>
      <c r="Q32" s="328"/>
      <c r="R32" s="328"/>
    </row>
    <row r="33" spans="1:14">
      <c r="A33" s="2"/>
      <c r="B33" s="2"/>
      <c r="C33" s="2"/>
      <c r="D33" s="2"/>
      <c r="E33" s="2"/>
      <c r="F33" s="2"/>
      <c r="G33" s="22"/>
      <c r="H33" s="22"/>
      <c r="I33" s="22"/>
      <c r="J33" s="22"/>
      <c r="K33" s="22"/>
      <c r="L33" s="22"/>
    </row>
    <row r="34" spans="1:14">
      <c r="A34" s="37"/>
      <c r="B34" s="37"/>
      <c r="C34" s="37"/>
      <c r="D34" s="37"/>
      <c r="E34" s="37"/>
      <c r="F34" s="37"/>
      <c r="G34" s="37"/>
      <c r="H34" s="37"/>
      <c r="I34" s="37"/>
      <c r="J34" s="37"/>
      <c r="K34" s="37"/>
      <c r="L34" s="37"/>
      <c r="M34" s="37"/>
    </row>
    <row r="35" spans="1:14">
      <c r="A35" s="37" t="s">
        <v>650</v>
      </c>
      <c r="B35" s="37"/>
      <c r="C35" s="37"/>
      <c r="D35" s="37"/>
      <c r="E35" s="37"/>
      <c r="F35" s="37"/>
      <c r="G35" s="37"/>
      <c r="H35" s="37"/>
      <c r="I35" s="37"/>
      <c r="J35" s="37"/>
      <c r="K35" s="37"/>
      <c r="L35" s="37"/>
      <c r="M35" s="37"/>
      <c r="N35" s="328"/>
    </row>
    <row r="36" spans="1:14">
      <c r="A36" s="37"/>
      <c r="B36" s="638" t="s">
        <v>350</v>
      </c>
      <c r="C36" s="37"/>
      <c r="D36" s="37"/>
      <c r="E36" s="37"/>
      <c r="F36" s="37"/>
      <c r="G36" s="37"/>
      <c r="H36" s="37"/>
      <c r="I36" s="37"/>
      <c r="J36" s="37"/>
      <c r="K36" s="37"/>
      <c r="L36" s="37"/>
      <c r="M36" s="37"/>
      <c r="N36" s="328"/>
    </row>
    <row r="37" spans="1:14" ht="46.8">
      <c r="B37" s="565" t="s">
        <v>786</v>
      </c>
      <c r="C37" s="565" t="s">
        <v>794</v>
      </c>
      <c r="D37" s="565" t="s">
        <v>793</v>
      </c>
      <c r="E37" s="565" t="s">
        <v>792</v>
      </c>
      <c r="F37" s="37"/>
      <c r="G37" s="37"/>
      <c r="H37" s="37"/>
      <c r="I37" s="37"/>
      <c r="J37" s="37"/>
      <c r="K37" s="37"/>
      <c r="L37" s="37"/>
      <c r="M37" s="37"/>
      <c r="N37" s="328"/>
    </row>
    <row r="38" spans="1:14">
      <c r="A38" s="37"/>
      <c r="B38" s="327" t="s">
        <v>777</v>
      </c>
      <c r="C38" s="634">
        <f>C10</f>
        <v>500255</v>
      </c>
      <c r="D38" s="652">
        <f>(0.5^2/2)/0.5</f>
        <v>0.25</v>
      </c>
      <c r="E38" s="634">
        <f>C38*D38</f>
        <v>125063.75</v>
      </c>
      <c r="F38" s="37"/>
      <c r="G38" s="37"/>
      <c r="H38" s="37"/>
      <c r="I38" s="37"/>
      <c r="J38" s="37"/>
      <c r="K38" s="37"/>
      <c r="L38" s="37"/>
      <c r="M38" s="37"/>
      <c r="N38" s="328"/>
    </row>
    <row r="39" spans="1:14">
      <c r="A39" s="37"/>
      <c r="B39" s="327" t="s">
        <v>776</v>
      </c>
      <c r="C39" s="634">
        <f>C11</f>
        <v>518366</v>
      </c>
      <c r="D39" s="651">
        <f>100%-(0.5^2/0.5)</f>
        <v>0.5</v>
      </c>
      <c r="E39" s="634">
        <f>C39*D39</f>
        <v>259183</v>
      </c>
      <c r="F39" s="37"/>
      <c r="G39" s="37"/>
      <c r="H39" s="37"/>
      <c r="I39" s="37"/>
      <c r="J39" s="37"/>
      <c r="K39" s="37"/>
      <c r="L39" s="37"/>
      <c r="M39" s="37"/>
      <c r="N39" s="328"/>
    </row>
    <row r="40" spans="1:14">
      <c r="A40" s="37"/>
      <c r="B40" s="576" t="s">
        <v>775</v>
      </c>
      <c r="C40" s="635">
        <f>C12</f>
        <v>506720</v>
      </c>
      <c r="D40" s="650">
        <f>(0.5^2/2)/0.5</f>
        <v>0.25</v>
      </c>
      <c r="E40" s="635">
        <f>C40*D40</f>
        <v>126680</v>
      </c>
      <c r="F40" s="37"/>
      <c r="G40" s="37"/>
      <c r="H40" s="37"/>
      <c r="I40" s="37"/>
      <c r="J40" s="37"/>
      <c r="K40" s="37"/>
      <c r="L40" s="37"/>
      <c r="M40" s="37"/>
      <c r="N40" s="328"/>
    </row>
    <row r="41" spans="1:14">
      <c r="A41" s="192"/>
      <c r="B41" s="327" t="s">
        <v>98</v>
      </c>
      <c r="C41" s="327"/>
      <c r="D41" s="327"/>
      <c r="E41" s="634">
        <f>SUM(E38:E40)</f>
        <v>510926.75</v>
      </c>
      <c r="F41" s="1" t="s">
        <v>789</v>
      </c>
      <c r="G41" s="37"/>
      <c r="H41" s="37"/>
      <c r="I41" s="37"/>
      <c r="J41" s="37"/>
      <c r="K41" s="37"/>
      <c r="L41" s="37"/>
      <c r="M41" s="37"/>
      <c r="N41" s="328"/>
    </row>
    <row r="42" spans="1:14">
      <c r="A42" s="37"/>
      <c r="B42" s="37"/>
      <c r="C42" s="37"/>
      <c r="D42" s="37"/>
      <c r="E42" s="37"/>
      <c r="F42" s="37"/>
      <c r="G42" s="37"/>
      <c r="H42" s="37"/>
      <c r="I42" s="37"/>
      <c r="J42" s="37"/>
      <c r="K42" s="37"/>
      <c r="L42" s="37"/>
      <c r="M42" s="37"/>
      <c r="N42" s="328"/>
    </row>
    <row r="43" spans="1:14">
      <c r="B43" s="37" t="s">
        <v>344</v>
      </c>
      <c r="C43" s="37"/>
      <c r="D43" s="37"/>
      <c r="E43" s="37"/>
      <c r="F43" s="37"/>
      <c r="G43" s="37"/>
      <c r="H43" s="37"/>
      <c r="I43" s="37"/>
      <c r="J43" s="37"/>
      <c r="K43" s="37"/>
      <c r="L43" s="37"/>
      <c r="M43" s="37"/>
      <c r="N43" s="328"/>
    </row>
    <row r="44" spans="1:14" ht="46.8">
      <c r="A44" s="37"/>
      <c r="B44" s="37"/>
      <c r="C44" s="565" t="s">
        <v>791</v>
      </c>
      <c r="D44" s="565" t="s">
        <v>790</v>
      </c>
      <c r="E44" s="576" t="s">
        <v>98</v>
      </c>
      <c r="F44" s="37"/>
      <c r="G44" s="37"/>
      <c r="H44" s="37"/>
      <c r="I44" s="37"/>
      <c r="J44" s="37"/>
      <c r="K44" s="37"/>
      <c r="L44" s="37"/>
      <c r="M44" s="37"/>
      <c r="N44" s="328"/>
    </row>
    <row r="45" spans="1:14">
      <c r="A45" s="37"/>
      <c r="B45" s="37"/>
      <c r="C45" s="634">
        <f>0.25*C12</f>
        <v>126680</v>
      </c>
      <c r="D45" s="634">
        <f>0.75*C13</f>
        <v>389035.5</v>
      </c>
      <c r="E45" s="634">
        <f>SUM(C45:D45)</f>
        <v>515715.5</v>
      </c>
      <c r="F45" s="1" t="s">
        <v>789</v>
      </c>
      <c r="G45" s="37"/>
      <c r="H45" s="37"/>
      <c r="I45" s="37"/>
      <c r="J45" s="37"/>
      <c r="K45" s="37"/>
      <c r="L45" s="37"/>
      <c r="M45" s="37"/>
      <c r="N45" s="328"/>
    </row>
    <row r="47" spans="1:14">
      <c r="A47" s="577" t="s">
        <v>9</v>
      </c>
      <c r="B47" s="1724" t="s">
        <v>788</v>
      </c>
      <c r="C47" s="1724"/>
      <c r="D47" s="1724"/>
      <c r="E47" s="1724"/>
      <c r="F47" s="1724"/>
      <c r="G47" s="1724"/>
      <c r="H47" s="1724"/>
      <c r="I47" s="1724"/>
      <c r="J47" s="1724"/>
      <c r="K47" s="1724"/>
      <c r="L47" s="22"/>
    </row>
    <row r="48" spans="1:14">
      <c r="A48" s="577"/>
      <c r="B48" s="1724"/>
      <c r="C48" s="1724"/>
      <c r="D48" s="1724"/>
      <c r="E48" s="1724"/>
      <c r="F48" s="1724"/>
      <c r="G48" s="1724"/>
      <c r="H48" s="1724"/>
      <c r="I48" s="1724"/>
      <c r="J48" s="1724"/>
      <c r="K48" s="1724"/>
      <c r="L48" s="22"/>
    </row>
    <row r="49" spans="1:20">
      <c r="A49" s="2"/>
      <c r="B49" s="2"/>
      <c r="C49" s="2"/>
      <c r="D49" s="2"/>
      <c r="E49" s="2"/>
      <c r="F49" s="2"/>
      <c r="G49" s="22"/>
      <c r="H49" s="22"/>
      <c r="I49" s="22"/>
      <c r="J49" s="22"/>
      <c r="K49" s="22"/>
      <c r="L49" s="22"/>
    </row>
    <row r="50" spans="1:20">
      <c r="A50" s="37"/>
      <c r="B50" s="37"/>
      <c r="C50" s="37"/>
      <c r="D50" s="37"/>
      <c r="E50" s="37"/>
      <c r="F50" s="37"/>
      <c r="G50" s="37"/>
      <c r="H50" s="37"/>
      <c r="I50" s="37"/>
      <c r="J50" s="37"/>
      <c r="K50" s="37"/>
      <c r="L50" s="37"/>
    </row>
    <row r="51" spans="1:20">
      <c r="A51" s="37" t="s">
        <v>650</v>
      </c>
      <c r="B51" s="37"/>
      <c r="C51" s="37"/>
      <c r="D51" s="37"/>
      <c r="E51" s="37"/>
      <c r="F51" s="37"/>
      <c r="G51" s="37"/>
      <c r="H51" s="37"/>
      <c r="I51" s="37"/>
      <c r="J51" s="37"/>
      <c r="K51" s="37"/>
      <c r="L51" s="37"/>
    </row>
    <row r="52" spans="1:20">
      <c r="A52" s="37"/>
      <c r="B52" s="37"/>
      <c r="C52" s="37"/>
      <c r="D52" s="37"/>
      <c r="J52"/>
      <c r="K52"/>
      <c r="L52"/>
      <c r="M52"/>
      <c r="N52"/>
      <c r="O52"/>
      <c r="P52"/>
      <c r="Q52"/>
      <c r="R52"/>
      <c r="S52"/>
      <c r="T52"/>
    </row>
    <row r="53" spans="1:20" ht="33.6" customHeight="1">
      <c r="A53" s="37"/>
      <c r="B53" s="37"/>
      <c r="C53" s="37"/>
      <c r="D53" s="642"/>
      <c r="G53" s="1778" t="s">
        <v>787</v>
      </c>
      <c r="H53" s="1778"/>
      <c r="J53"/>
      <c r="K53"/>
      <c r="L53"/>
      <c r="M53"/>
      <c r="N53"/>
      <c r="O53"/>
      <c r="P53"/>
      <c r="Q53"/>
      <c r="R53"/>
      <c r="S53"/>
      <c r="T53"/>
    </row>
    <row r="54" spans="1:20" ht="46.8">
      <c r="A54" s="565" t="s">
        <v>786</v>
      </c>
      <c r="B54" s="565" t="s">
        <v>699</v>
      </c>
      <c r="C54" s="565" t="s">
        <v>785</v>
      </c>
      <c r="D54" s="565" t="s">
        <v>784</v>
      </c>
      <c r="E54" s="565" t="s">
        <v>783</v>
      </c>
      <c r="F54" s="565" t="s">
        <v>782</v>
      </c>
      <c r="G54" s="565" t="s">
        <v>781</v>
      </c>
      <c r="H54" s="565" t="s">
        <v>780</v>
      </c>
      <c r="J54"/>
      <c r="K54"/>
      <c r="L54"/>
      <c r="M54"/>
      <c r="N54"/>
      <c r="O54"/>
      <c r="P54"/>
      <c r="Q54"/>
      <c r="R54"/>
      <c r="S54"/>
      <c r="T54"/>
    </row>
    <row r="55" spans="1:20">
      <c r="A55" s="327" t="s">
        <v>779</v>
      </c>
      <c r="B55" s="634">
        <f t="shared" ref="B55:C60" si="0">D8</f>
        <v>518804</v>
      </c>
      <c r="C55" s="634">
        <f t="shared" si="0"/>
        <v>364784</v>
      </c>
      <c r="D55" s="641">
        <f t="shared" ref="D55:D61" si="1">C55/B55</f>
        <v>0.70312487953061276</v>
      </c>
      <c r="E55" s="277">
        <v>2</v>
      </c>
      <c r="F55" s="649">
        <f t="shared" ref="F55:F60" si="2">(1+$D$23)^E55</f>
        <v>1.0201</v>
      </c>
      <c r="G55" s="645">
        <f>F55*D55</f>
        <v>0.71725768960917813</v>
      </c>
      <c r="H55" s="645"/>
      <c r="J55"/>
      <c r="K55"/>
      <c r="L55"/>
      <c r="M55"/>
      <c r="N55"/>
      <c r="O55"/>
      <c r="P55"/>
      <c r="Q55"/>
      <c r="R55"/>
      <c r="S55"/>
      <c r="T55"/>
    </row>
    <row r="56" spans="1:20">
      <c r="A56" s="327" t="s">
        <v>778</v>
      </c>
      <c r="B56" s="634">
        <f t="shared" si="0"/>
        <v>520827</v>
      </c>
      <c r="C56" s="634">
        <f t="shared" si="0"/>
        <v>232393</v>
      </c>
      <c r="D56" s="641">
        <f t="shared" si="1"/>
        <v>0.44619998579182724</v>
      </c>
      <c r="E56" s="277">
        <v>2</v>
      </c>
      <c r="F56" s="649">
        <f t="shared" si="2"/>
        <v>1.0201</v>
      </c>
      <c r="G56" s="645"/>
      <c r="H56" s="645">
        <f>F56*D56</f>
        <v>0.45516860550624294</v>
      </c>
      <c r="J56"/>
      <c r="K56"/>
      <c r="L56"/>
      <c r="M56"/>
      <c r="N56"/>
      <c r="O56"/>
      <c r="P56"/>
      <c r="Q56"/>
      <c r="R56"/>
      <c r="S56"/>
      <c r="T56"/>
    </row>
    <row r="57" spans="1:20">
      <c r="A57" s="327" t="s">
        <v>777</v>
      </c>
      <c r="B57" s="634">
        <f t="shared" si="0"/>
        <v>514671</v>
      </c>
      <c r="C57" s="634">
        <f t="shared" si="0"/>
        <v>365518</v>
      </c>
      <c r="D57" s="641">
        <f t="shared" si="1"/>
        <v>0.71019738823442546</v>
      </c>
      <c r="E57" s="277">
        <v>1</v>
      </c>
      <c r="F57" s="649">
        <f t="shared" si="2"/>
        <v>1.01</v>
      </c>
      <c r="G57" s="645">
        <f>F57*D57</f>
        <v>0.7172993621167697</v>
      </c>
      <c r="H57" s="645"/>
      <c r="J57"/>
      <c r="K57"/>
      <c r="L57"/>
      <c r="M57"/>
      <c r="N57"/>
      <c r="O57"/>
      <c r="P57"/>
      <c r="Q57"/>
      <c r="R57"/>
      <c r="S57"/>
      <c r="T57"/>
    </row>
    <row r="58" spans="1:20">
      <c r="A58" s="327" t="s">
        <v>776</v>
      </c>
      <c r="B58" s="634">
        <f t="shared" si="0"/>
        <v>509071</v>
      </c>
      <c r="C58" s="634">
        <f t="shared" si="0"/>
        <v>229396</v>
      </c>
      <c r="D58" s="641">
        <f t="shared" si="1"/>
        <v>0.45061690805408283</v>
      </c>
      <c r="E58" s="277">
        <v>1</v>
      </c>
      <c r="F58" s="649">
        <f t="shared" si="2"/>
        <v>1.01</v>
      </c>
      <c r="G58" s="645"/>
      <c r="H58" s="645">
        <f>F58*D58</f>
        <v>0.45512307713462369</v>
      </c>
      <c r="J58"/>
      <c r="K58"/>
      <c r="L58"/>
      <c r="M58"/>
      <c r="N58"/>
      <c r="O58"/>
      <c r="P58"/>
      <c r="Q58"/>
      <c r="R58"/>
      <c r="S58"/>
      <c r="T58"/>
    </row>
    <row r="59" spans="1:20">
      <c r="A59" s="327" t="s">
        <v>775</v>
      </c>
      <c r="B59" s="634">
        <f t="shared" si="0"/>
        <v>510927</v>
      </c>
      <c r="C59" s="634">
        <f t="shared" si="0"/>
        <v>366542</v>
      </c>
      <c r="D59" s="641">
        <f t="shared" si="1"/>
        <v>0.71740581335494114</v>
      </c>
      <c r="E59" s="277">
        <v>0</v>
      </c>
      <c r="F59" s="649">
        <f t="shared" si="2"/>
        <v>1</v>
      </c>
      <c r="G59" s="645">
        <f>F59*D59</f>
        <v>0.71740581335494114</v>
      </c>
      <c r="H59" s="645"/>
      <c r="J59"/>
      <c r="K59"/>
      <c r="L59"/>
      <c r="M59"/>
      <c r="N59"/>
      <c r="O59"/>
      <c r="P59"/>
      <c r="Q59"/>
      <c r="R59"/>
      <c r="S59"/>
      <c r="T59"/>
    </row>
    <row r="60" spans="1:20">
      <c r="A60" s="576" t="s">
        <v>774</v>
      </c>
      <c r="B60" s="635">
        <f t="shared" si="0"/>
        <v>512630</v>
      </c>
      <c r="C60" s="635">
        <f t="shared" si="0"/>
        <v>233315</v>
      </c>
      <c r="D60" s="648">
        <f t="shared" si="1"/>
        <v>0.45513333203285022</v>
      </c>
      <c r="E60" s="603">
        <v>0</v>
      </c>
      <c r="F60" s="647">
        <f t="shared" si="2"/>
        <v>1</v>
      </c>
      <c r="G60" s="646"/>
      <c r="H60" s="646">
        <f>F60*D60</f>
        <v>0.45513333203285022</v>
      </c>
      <c r="J60"/>
      <c r="K60"/>
      <c r="L60"/>
      <c r="M60"/>
      <c r="N60"/>
      <c r="O60"/>
      <c r="P60"/>
      <c r="Q60"/>
      <c r="R60"/>
      <c r="S60"/>
      <c r="T60"/>
    </row>
    <row r="61" spans="1:20">
      <c r="A61" s="327" t="s">
        <v>98</v>
      </c>
      <c r="B61" s="634">
        <f>SUM(B55:B60)</f>
        <v>3086930</v>
      </c>
      <c r="C61" s="634">
        <f>SUM(C55:C60)</f>
        <v>1791948</v>
      </c>
      <c r="D61" s="641">
        <f t="shared" si="1"/>
        <v>0.5804951845360925</v>
      </c>
      <c r="G61" s="645">
        <f>AVERAGE(G55:G60)</f>
        <v>0.71732095502696291</v>
      </c>
      <c r="H61" s="645">
        <f>AVERAGE(H55:H60)</f>
        <v>0.45514167155790569</v>
      </c>
      <c r="J61"/>
      <c r="K61"/>
      <c r="L61"/>
      <c r="M61"/>
      <c r="N61"/>
      <c r="O61"/>
      <c r="P61"/>
      <c r="Q61"/>
      <c r="R61"/>
      <c r="S61"/>
      <c r="T61"/>
    </row>
    <row r="62" spans="1:20">
      <c r="A62" s="37"/>
      <c r="B62" s="37"/>
      <c r="C62" s="37"/>
      <c r="D62" s="37"/>
      <c r="E62" s="37"/>
      <c r="F62" s="37"/>
      <c r="G62" s="37"/>
      <c r="H62" s="37"/>
      <c r="I62" s="37"/>
      <c r="J62" s="37"/>
      <c r="K62"/>
      <c r="L62"/>
      <c r="M62"/>
      <c r="N62"/>
      <c r="O62"/>
      <c r="P62"/>
      <c r="Q62"/>
      <c r="R62"/>
      <c r="S62"/>
      <c r="T62"/>
    </row>
    <row r="63" spans="1:20" ht="31.2" customHeight="1">
      <c r="A63" s="636" t="s">
        <v>773</v>
      </c>
      <c r="B63" s="636"/>
      <c r="C63" s="584"/>
      <c r="D63" s="565" t="s">
        <v>772</v>
      </c>
      <c r="E63" s="565" t="s">
        <v>771</v>
      </c>
      <c r="F63" s="565" t="s">
        <v>98</v>
      </c>
      <c r="G63" s="37"/>
      <c r="H63" s="37"/>
      <c r="I63" s="37"/>
      <c r="J63" s="37"/>
      <c r="K63"/>
      <c r="L63"/>
      <c r="M63"/>
      <c r="N63"/>
      <c r="O63"/>
      <c r="P63"/>
      <c r="Q63"/>
      <c r="R63"/>
      <c r="S63"/>
      <c r="T63"/>
    </row>
    <row r="64" spans="1:20">
      <c r="A64" s="37" t="s">
        <v>766</v>
      </c>
      <c r="B64" s="37"/>
      <c r="D64" s="634">
        <f>D66</f>
        <v>126680</v>
      </c>
      <c r="E64" s="634">
        <f>E66-E65</f>
        <v>259357</v>
      </c>
      <c r="F64" s="327"/>
      <c r="G64" s="642"/>
      <c r="H64" s="37"/>
      <c r="I64" s="37"/>
      <c r="J64" s="37"/>
      <c r="K64"/>
      <c r="L64"/>
      <c r="M64"/>
      <c r="N64"/>
      <c r="O64"/>
      <c r="P64"/>
      <c r="Q64"/>
      <c r="R64"/>
      <c r="S64"/>
      <c r="T64"/>
    </row>
    <row r="65" spans="1:20">
      <c r="A65" s="636" t="s">
        <v>765</v>
      </c>
      <c r="B65" s="636"/>
      <c r="C65" s="584"/>
      <c r="D65" s="576"/>
      <c r="E65" s="635">
        <f>25%*$C$13</f>
        <v>129678.5</v>
      </c>
      <c r="F65" s="576"/>
      <c r="G65" s="37"/>
      <c r="H65" s="37"/>
      <c r="I65" s="37"/>
      <c r="J65" s="37"/>
      <c r="K65"/>
      <c r="L65"/>
      <c r="M65"/>
      <c r="N65"/>
      <c r="O65"/>
      <c r="P65"/>
      <c r="Q65"/>
      <c r="R65"/>
      <c r="S65"/>
      <c r="T65"/>
    </row>
    <row r="66" spans="1:20">
      <c r="A66" s="37" t="s">
        <v>770</v>
      </c>
      <c r="B66" s="37"/>
      <c r="D66" s="634">
        <f>25%*$C$12</f>
        <v>126680</v>
      </c>
      <c r="E66" s="634">
        <f>75%*$C$13</f>
        <v>389035.5</v>
      </c>
      <c r="F66" s="634">
        <f>SUM(D66:E66)</f>
        <v>515715.5</v>
      </c>
      <c r="G66" s="37"/>
      <c r="H66" s="37"/>
      <c r="I66" s="37"/>
      <c r="J66" s="37"/>
      <c r="K66"/>
      <c r="L66"/>
      <c r="M66"/>
      <c r="N66"/>
      <c r="O66"/>
      <c r="P66"/>
      <c r="Q66"/>
      <c r="R66"/>
      <c r="S66"/>
      <c r="T66"/>
    </row>
    <row r="67" spans="1:20">
      <c r="A67" s="37"/>
      <c r="B67" s="37"/>
      <c r="D67" s="327"/>
      <c r="E67" s="634"/>
      <c r="F67" s="327"/>
      <c r="G67" s="37"/>
      <c r="H67" s="37"/>
      <c r="I67" s="37"/>
      <c r="J67" s="37"/>
      <c r="K67"/>
      <c r="L67"/>
      <c r="M67"/>
      <c r="N67"/>
      <c r="O67"/>
      <c r="P67"/>
      <c r="Q67"/>
      <c r="R67"/>
      <c r="S67"/>
      <c r="T67"/>
    </row>
    <row r="68" spans="1:20">
      <c r="A68" s="37" t="s">
        <v>769</v>
      </c>
      <c r="B68" s="37"/>
      <c r="D68" s="644">
        <v>44287</v>
      </c>
      <c r="E68" s="644">
        <v>44470</v>
      </c>
      <c r="F68" s="327"/>
      <c r="G68" s="37"/>
      <c r="H68" s="37"/>
      <c r="I68" s="37"/>
      <c r="J68" s="37"/>
      <c r="K68"/>
      <c r="L68"/>
      <c r="M68"/>
      <c r="N68"/>
      <c r="O68"/>
      <c r="P68"/>
      <c r="Q68"/>
      <c r="R68"/>
      <c r="S68"/>
      <c r="T68"/>
    </row>
    <row r="69" spans="1:20">
      <c r="A69" s="37"/>
      <c r="B69" s="37"/>
      <c r="D69" s="327"/>
      <c r="E69" s="634"/>
      <c r="F69" s="327"/>
      <c r="G69" s="37"/>
      <c r="H69" s="37"/>
      <c r="I69" s="37"/>
      <c r="J69" s="37"/>
      <c r="K69"/>
      <c r="L69"/>
      <c r="M69"/>
      <c r="N69"/>
      <c r="O69"/>
      <c r="P69"/>
      <c r="Q69"/>
      <c r="R69"/>
      <c r="S69"/>
      <c r="T69"/>
    </row>
    <row r="70" spans="1:20">
      <c r="A70" s="37" t="s">
        <v>768</v>
      </c>
      <c r="B70" s="37"/>
      <c r="D70" s="37"/>
      <c r="E70" s="37"/>
      <c r="F70" s="37"/>
      <c r="G70" s="37"/>
      <c r="H70" s="37"/>
      <c r="I70" s="37"/>
      <c r="J70" s="37"/>
      <c r="K70"/>
      <c r="L70"/>
      <c r="M70"/>
      <c r="N70"/>
      <c r="O70"/>
      <c r="P70"/>
      <c r="Q70"/>
      <c r="R70"/>
      <c r="S70"/>
      <c r="T70"/>
    </row>
    <row r="71" spans="1:20">
      <c r="A71" s="37" t="s">
        <v>766</v>
      </c>
      <c r="B71" s="37"/>
      <c r="D71" s="644">
        <f>DATE(2022,1,1)+1/8*365</f>
        <v>44607.625</v>
      </c>
      <c r="E71" s="644">
        <v>44652</v>
      </c>
      <c r="F71" s="37"/>
      <c r="G71" s="37"/>
      <c r="H71" s="37"/>
      <c r="I71" s="37"/>
      <c r="J71" s="37"/>
      <c r="K71"/>
      <c r="L71"/>
      <c r="M71"/>
      <c r="N71"/>
      <c r="O71"/>
      <c r="P71"/>
      <c r="Q71"/>
      <c r="R71"/>
      <c r="S71"/>
      <c r="T71"/>
    </row>
    <row r="72" spans="1:20">
      <c r="A72" s="37" t="s">
        <v>765</v>
      </c>
      <c r="B72" s="37"/>
      <c r="D72" s="644"/>
      <c r="E72" s="644">
        <f>DATE(2022,7,1)+1/8*365</f>
        <v>44788.625</v>
      </c>
      <c r="F72" s="37"/>
      <c r="G72" s="37"/>
      <c r="H72" s="37"/>
      <c r="I72" s="37"/>
      <c r="J72" s="37"/>
      <c r="K72"/>
      <c r="L72"/>
      <c r="M72"/>
      <c r="N72"/>
      <c r="O72"/>
      <c r="P72"/>
      <c r="Q72"/>
      <c r="R72"/>
      <c r="S72"/>
      <c r="T72"/>
    </row>
    <row r="73" spans="1:20">
      <c r="A73" s="37"/>
      <c r="B73" s="37"/>
      <c r="D73" s="37"/>
      <c r="E73" s="37"/>
      <c r="F73" s="37"/>
      <c r="G73" s="37"/>
      <c r="H73" s="37"/>
      <c r="I73" s="37"/>
      <c r="J73" s="37"/>
      <c r="K73"/>
      <c r="L73"/>
      <c r="M73"/>
      <c r="N73"/>
      <c r="O73"/>
      <c r="P73"/>
      <c r="Q73"/>
      <c r="R73"/>
      <c r="S73"/>
      <c r="T73"/>
    </row>
    <row r="74" spans="1:20">
      <c r="A74" s="37" t="s">
        <v>767</v>
      </c>
      <c r="B74" s="642"/>
      <c r="F74" s="37"/>
      <c r="G74" s="37"/>
      <c r="H74" s="37"/>
      <c r="I74" s="37"/>
      <c r="J74" s="37"/>
      <c r="K74"/>
      <c r="L74"/>
      <c r="M74"/>
      <c r="N74"/>
      <c r="O74"/>
      <c r="P74"/>
      <c r="Q74"/>
      <c r="R74"/>
      <c r="S74"/>
      <c r="T74"/>
    </row>
    <row r="75" spans="1:20">
      <c r="A75" s="37" t="s">
        <v>766</v>
      </c>
      <c r="B75" s="642"/>
      <c r="D75" s="643">
        <f>(1+$D$23)^((D71-D68)/365)</f>
        <v>1.0087789266942526</v>
      </c>
      <c r="E75" s="643">
        <f>(1+$D$23)^((E71-E68)/365)</f>
        <v>1.0049738636318233</v>
      </c>
      <c r="F75" s="37"/>
      <c r="G75" s="37"/>
      <c r="H75" s="37"/>
      <c r="I75" s="37"/>
      <c r="J75" s="37"/>
      <c r="K75"/>
      <c r="L75"/>
      <c r="M75"/>
      <c r="N75"/>
      <c r="O75"/>
      <c r="P75"/>
      <c r="Q75"/>
      <c r="R75"/>
      <c r="S75"/>
      <c r="T75"/>
    </row>
    <row r="76" spans="1:20">
      <c r="A76" s="37" t="s">
        <v>765</v>
      </c>
      <c r="B76" s="37"/>
      <c r="D76" s="643"/>
      <c r="E76" s="643">
        <f>(1+$D$23)^((E72-E68)/365)</f>
        <v>1.0087239271849695</v>
      </c>
      <c r="F76" s="37"/>
      <c r="G76" s="37"/>
      <c r="H76" s="37"/>
      <c r="I76" s="37"/>
      <c r="J76" s="37"/>
      <c r="K76"/>
      <c r="L76"/>
      <c r="M76"/>
      <c r="N76"/>
      <c r="O76"/>
      <c r="P76"/>
      <c r="Q76"/>
      <c r="R76"/>
      <c r="S76"/>
      <c r="T76"/>
    </row>
    <row r="77" spans="1:20">
      <c r="A77" s="37"/>
      <c r="B77" s="37"/>
      <c r="D77" s="37"/>
      <c r="E77" s="37"/>
      <c r="F77" s="37"/>
      <c r="G77" s="37"/>
      <c r="H77" s="37"/>
      <c r="I77" s="37"/>
      <c r="J77" s="638"/>
      <c r="K77"/>
      <c r="L77"/>
      <c r="M77"/>
      <c r="N77"/>
      <c r="O77"/>
      <c r="P77"/>
      <c r="Q77"/>
      <c r="R77"/>
      <c r="S77"/>
      <c r="T77"/>
    </row>
    <row r="78" spans="1:20">
      <c r="A78" s="37" t="s">
        <v>761</v>
      </c>
      <c r="B78" s="37"/>
      <c r="G78" s="642"/>
      <c r="H78" s="37"/>
      <c r="I78" s="37"/>
      <c r="J78" s="638"/>
      <c r="K78"/>
      <c r="L78"/>
      <c r="M78"/>
      <c r="N78"/>
      <c r="O78"/>
      <c r="P78"/>
      <c r="Q78"/>
      <c r="R78"/>
      <c r="S78"/>
      <c r="T78"/>
    </row>
    <row r="79" spans="1:20">
      <c r="A79" s="37" t="s">
        <v>766</v>
      </c>
      <c r="B79" s="37"/>
      <c r="D79" s="641">
        <f>D75*G61</f>
        <v>0.72361826310739585</v>
      </c>
      <c r="E79" s="639">
        <f>G61*E75</f>
        <v>0.72088881163751628</v>
      </c>
      <c r="F79" s="37"/>
      <c r="G79" s="37"/>
      <c r="H79" s="37"/>
      <c r="I79" s="37"/>
      <c r="J79" s="638"/>
      <c r="K79"/>
      <c r="L79"/>
      <c r="M79"/>
      <c r="N79"/>
      <c r="O79"/>
      <c r="P79"/>
      <c r="Q79"/>
      <c r="R79"/>
      <c r="S79"/>
      <c r="T79"/>
    </row>
    <row r="80" spans="1:20">
      <c r="A80" s="636" t="s">
        <v>765</v>
      </c>
      <c r="B80" s="636"/>
      <c r="C80" s="584"/>
      <c r="D80" s="635"/>
      <c r="E80" s="640">
        <f>E76*H61</f>
        <v>0.45911229435942219</v>
      </c>
      <c r="F80" s="37"/>
      <c r="G80" s="37"/>
      <c r="H80" s="37"/>
      <c r="I80" s="37"/>
      <c r="J80" s="638"/>
      <c r="K80"/>
      <c r="L80"/>
      <c r="M80"/>
      <c r="N80"/>
      <c r="O80"/>
      <c r="P80"/>
      <c r="Q80"/>
      <c r="R80"/>
      <c r="S80"/>
      <c r="T80"/>
    </row>
    <row r="81" spans="1:20">
      <c r="A81" s="37" t="s">
        <v>764</v>
      </c>
      <c r="B81" s="37"/>
      <c r="D81" s="634"/>
      <c r="E81" s="639" cm="1">
        <f t="array" ref="E81">SUMPRODUCT(D79:E80*D64:E65)/F66</f>
        <v>0.65573463422062073</v>
      </c>
      <c r="F81" s="37"/>
      <c r="G81" s="37"/>
      <c r="H81" s="37"/>
      <c r="I81" s="37"/>
      <c r="J81" s="638"/>
      <c r="K81"/>
      <c r="L81"/>
      <c r="M81"/>
      <c r="N81"/>
      <c r="O81"/>
      <c r="P81"/>
      <c r="Q81"/>
      <c r="R81"/>
      <c r="S81"/>
      <c r="T81"/>
    </row>
    <row r="83" spans="1:20">
      <c r="A83" s="577" t="s">
        <v>7</v>
      </c>
      <c r="B83" s="22" t="s">
        <v>763</v>
      </c>
      <c r="C83" s="22"/>
      <c r="D83" s="22"/>
      <c r="E83" s="22"/>
      <c r="F83" s="22"/>
      <c r="G83" s="22"/>
      <c r="H83" s="22"/>
      <c r="I83" s="22"/>
      <c r="J83" s="22"/>
      <c r="K83" s="22"/>
      <c r="L83" s="22"/>
    </row>
    <row r="84" spans="1:20">
      <c r="A84" s="2"/>
      <c r="B84" s="2"/>
      <c r="C84" s="2"/>
      <c r="D84" s="2"/>
      <c r="E84" s="2"/>
      <c r="F84" s="2"/>
      <c r="G84" s="22"/>
      <c r="H84" s="22"/>
      <c r="I84" s="22"/>
      <c r="J84" s="22"/>
      <c r="K84" s="22"/>
      <c r="L84" s="22"/>
    </row>
    <row r="85" spans="1:20">
      <c r="A85" s="37"/>
      <c r="B85" s="37"/>
      <c r="C85" s="37"/>
      <c r="D85" s="37"/>
      <c r="E85" s="37"/>
      <c r="F85" s="37"/>
      <c r="G85" s="37"/>
      <c r="H85" s="37"/>
      <c r="I85" s="37"/>
      <c r="J85" s="37"/>
      <c r="K85" s="37"/>
      <c r="L85" s="37"/>
    </row>
    <row r="86" spans="1:20">
      <c r="A86" s="37" t="s">
        <v>650</v>
      </c>
      <c r="B86" s="37"/>
      <c r="C86" s="37"/>
      <c r="D86" s="37"/>
      <c r="E86" s="37"/>
      <c r="F86" s="37"/>
      <c r="G86" s="37"/>
      <c r="H86" s="37"/>
      <c r="I86" s="37"/>
      <c r="J86" s="37"/>
      <c r="K86" s="37"/>
      <c r="L86" s="37"/>
    </row>
    <row r="87" spans="1:20">
      <c r="A87" s="636"/>
      <c r="B87" s="636"/>
      <c r="C87" s="576" t="s">
        <v>680</v>
      </c>
      <c r="D87" s="576" t="s">
        <v>679</v>
      </c>
    </row>
    <row r="88" spans="1:20">
      <c r="A88" s="37" t="s">
        <v>762</v>
      </c>
      <c r="B88" s="37"/>
      <c r="C88" s="634">
        <f>F66</f>
        <v>515715.5</v>
      </c>
      <c r="D88" s="634">
        <f>0.75*C88</f>
        <v>386786.625</v>
      </c>
    </row>
    <row r="89" spans="1:20">
      <c r="A89" s="37" t="s">
        <v>761</v>
      </c>
      <c r="B89" s="37"/>
      <c r="C89" s="637">
        <f>E81</f>
        <v>0.65573463422062073</v>
      </c>
      <c r="D89" s="637">
        <f>C89</f>
        <v>0.65573463422062073</v>
      </c>
      <c r="M89" s="37"/>
      <c r="N89" s="37"/>
    </row>
    <row r="90" spans="1:20">
      <c r="A90" s="37" t="s">
        <v>676</v>
      </c>
      <c r="B90" s="37"/>
      <c r="C90" s="634">
        <f>C88*C89</f>
        <v>338172.51475440455</v>
      </c>
      <c r="D90" s="634">
        <f>D88*D89</f>
        <v>253629.38606580341</v>
      </c>
      <c r="M90" s="37"/>
      <c r="N90" s="37"/>
    </row>
    <row r="91" spans="1:20">
      <c r="A91" s="37" t="s">
        <v>760</v>
      </c>
      <c r="B91" s="37"/>
      <c r="C91" s="634">
        <f>C20*C90</f>
        <v>19275.83334100106</v>
      </c>
      <c r="D91" s="634">
        <f>C91</f>
        <v>19275.83334100106</v>
      </c>
      <c r="M91" s="37"/>
      <c r="N91" s="37"/>
    </row>
    <row r="92" spans="1:20">
      <c r="A92" s="636" t="s">
        <v>714</v>
      </c>
      <c r="B92" s="636"/>
      <c r="C92" s="635">
        <f>E21*G22*C88</f>
        <v>27848.636999999999</v>
      </c>
      <c r="D92" s="635">
        <f>C92</f>
        <v>27848.636999999999</v>
      </c>
    </row>
    <row r="93" spans="1:20">
      <c r="A93" s="37" t="s">
        <v>759</v>
      </c>
      <c r="B93" s="37"/>
      <c r="C93" s="634">
        <f>SUM(C90:C92)</f>
        <v>385296.9850954056</v>
      </c>
      <c r="D93" s="634">
        <f>SUM(D90:D92)</f>
        <v>300753.85640680447</v>
      </c>
    </row>
  </sheetData>
  <mergeCells count="2">
    <mergeCell ref="B47:K48"/>
    <mergeCell ref="G53:H53"/>
  </mergeCells>
  <pageMargins left="0.7" right="0.7" top="0.75" bottom="0.75" header="0.3" footer="0.3"/>
  <pageSetup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9E03B-B681-4674-8B62-D3EBC1B54748}">
  <dimension ref="A1:R59"/>
  <sheetViews>
    <sheetView zoomScaleNormal="100" workbookViewId="0"/>
  </sheetViews>
  <sheetFormatPr defaultColWidth="8.88671875" defaultRowHeight="15.6"/>
  <cols>
    <col min="1" max="1" width="8.88671875" style="1" customWidth="1"/>
    <col min="2" max="3" width="14.6640625" style="1" customWidth="1"/>
    <col min="4" max="4" width="8.88671875" style="1" customWidth="1"/>
    <col min="5" max="6" width="12.6640625" style="1" customWidth="1"/>
    <col min="7" max="7" width="8.88671875" style="1"/>
    <col min="8" max="8" width="8.88671875" style="1" customWidth="1"/>
    <col min="9" max="16384" width="8.88671875" style="1"/>
  </cols>
  <sheetData>
    <row r="1" spans="1:12" ht="17.399999999999999">
      <c r="A1" s="23" t="s">
        <v>839</v>
      </c>
      <c r="B1" s="22"/>
      <c r="C1" s="22" t="s">
        <v>758</v>
      </c>
      <c r="D1" s="22"/>
      <c r="E1" s="22"/>
      <c r="F1" s="22"/>
      <c r="G1" s="22"/>
      <c r="H1" s="22"/>
      <c r="I1" s="22"/>
      <c r="J1" s="22"/>
      <c r="K1" s="22"/>
      <c r="L1" s="2"/>
    </row>
    <row r="2" spans="1:12">
      <c r="A2" s="22"/>
      <c r="B2" s="22"/>
      <c r="C2" s="22"/>
      <c r="D2" s="22"/>
      <c r="E2" s="22"/>
      <c r="F2" s="22"/>
      <c r="G2" s="22"/>
      <c r="H2" s="22"/>
      <c r="I2" s="22"/>
      <c r="J2" s="22"/>
      <c r="K2" s="22"/>
      <c r="L2" s="2"/>
    </row>
    <row r="3" spans="1:12">
      <c r="A3" s="376" t="s">
        <v>838</v>
      </c>
      <c r="B3" s="325"/>
      <c r="C3" s="22"/>
      <c r="D3" s="22"/>
      <c r="E3" s="22"/>
      <c r="F3" s="22"/>
      <c r="G3" s="22"/>
      <c r="H3" s="22"/>
      <c r="I3" s="22"/>
      <c r="J3" s="22"/>
      <c r="K3" s="22"/>
      <c r="L3" s="2"/>
    </row>
    <row r="4" spans="1:12">
      <c r="A4" s="376"/>
      <c r="B4" s="325"/>
      <c r="C4" s="22"/>
      <c r="D4" s="22"/>
      <c r="E4" s="22"/>
      <c r="F4" s="22"/>
      <c r="G4" s="22"/>
      <c r="H4" s="22"/>
      <c r="I4" s="22"/>
      <c r="J4" s="22"/>
      <c r="K4" s="22"/>
      <c r="L4" s="22"/>
    </row>
    <row r="5" spans="1:12">
      <c r="A5" s="2"/>
      <c r="B5" s="625" t="s">
        <v>837</v>
      </c>
      <c r="C5" s="662"/>
      <c r="D5" s="661"/>
      <c r="E5" s="620"/>
      <c r="F5" s="663">
        <v>5000000</v>
      </c>
      <c r="G5" s="2"/>
      <c r="H5" s="2"/>
      <c r="I5" s="22"/>
      <c r="J5" s="22"/>
      <c r="K5" s="22"/>
      <c r="L5" s="22"/>
    </row>
    <row r="6" spans="1:12">
      <c r="A6" s="2"/>
      <c r="B6" s="625" t="s">
        <v>836</v>
      </c>
      <c r="C6" s="662"/>
      <c r="D6" s="661"/>
      <c r="E6" s="620"/>
      <c r="F6" s="660">
        <v>0.6</v>
      </c>
      <c r="G6" s="2"/>
      <c r="H6" s="2"/>
      <c r="I6" s="22"/>
      <c r="J6" s="22"/>
      <c r="K6" s="22"/>
      <c r="L6" s="22"/>
    </row>
    <row r="7" spans="1:12">
      <c r="A7" s="376"/>
      <c r="B7" s="325"/>
      <c r="C7" s="22"/>
      <c r="D7" s="22"/>
      <c r="E7" s="22"/>
      <c r="F7" s="22"/>
      <c r="G7" s="22"/>
      <c r="H7" s="22"/>
      <c r="I7" s="22"/>
      <c r="J7" s="22"/>
      <c r="K7" s="22"/>
      <c r="L7" s="22"/>
    </row>
    <row r="8" spans="1:12">
      <c r="A8" s="2"/>
      <c r="B8" s="659" t="s">
        <v>835</v>
      </c>
      <c r="C8" s="22"/>
      <c r="D8" s="22"/>
      <c r="E8" s="22"/>
      <c r="F8" s="22"/>
      <c r="G8" s="22"/>
      <c r="H8" s="22"/>
      <c r="I8" s="22"/>
      <c r="J8" s="22"/>
      <c r="K8" s="22"/>
      <c r="L8" s="22"/>
    </row>
    <row r="9" spans="1:12">
      <c r="A9" s="2"/>
      <c r="B9" s="659" t="s">
        <v>834</v>
      </c>
      <c r="C9" s="22"/>
      <c r="D9" s="22"/>
      <c r="E9" s="22"/>
      <c r="F9" s="654">
        <v>0.2</v>
      </c>
      <c r="G9" s="22" t="s">
        <v>833</v>
      </c>
      <c r="H9" s="22"/>
      <c r="I9" s="22"/>
      <c r="J9" s="22"/>
      <c r="K9" s="22"/>
      <c r="L9" s="22"/>
    </row>
    <row r="10" spans="1:12">
      <c r="A10" s="2"/>
      <c r="B10" s="659" t="s">
        <v>832</v>
      </c>
      <c r="C10" s="22"/>
      <c r="D10" s="22"/>
      <c r="E10" s="22"/>
      <c r="F10" s="22"/>
      <c r="G10" s="22"/>
      <c r="H10" s="22"/>
      <c r="I10" s="22"/>
      <c r="J10" s="22"/>
      <c r="K10" s="22"/>
      <c r="L10" s="22"/>
    </row>
    <row r="11" spans="1:12">
      <c r="A11" s="2"/>
      <c r="B11" s="659" t="s">
        <v>831</v>
      </c>
      <c r="C11" s="22"/>
      <c r="D11" s="654">
        <v>0.1</v>
      </c>
      <c r="E11" s="22" t="s">
        <v>830</v>
      </c>
      <c r="F11" s="22"/>
      <c r="G11" s="22"/>
      <c r="H11" s="22"/>
      <c r="I11" s="22"/>
      <c r="J11" s="22"/>
      <c r="K11" s="22"/>
      <c r="L11" s="22"/>
    </row>
    <row r="12" spans="1:12">
      <c r="A12" s="2"/>
      <c r="B12" s="659" t="s">
        <v>829</v>
      </c>
      <c r="C12" s="22"/>
      <c r="D12" s="654">
        <v>0.2</v>
      </c>
      <c r="E12" s="22" t="s">
        <v>828</v>
      </c>
      <c r="F12" s="22"/>
      <c r="G12" s="22"/>
      <c r="H12" s="22"/>
      <c r="I12" s="22"/>
      <c r="J12" s="22"/>
      <c r="K12" s="22"/>
      <c r="L12" s="22"/>
    </row>
    <row r="13" spans="1:12">
      <c r="A13" s="2"/>
      <c r="B13" s="659" t="s">
        <v>827</v>
      </c>
      <c r="C13" s="22"/>
      <c r="D13" s="22"/>
      <c r="E13" s="22"/>
      <c r="F13" s="22"/>
      <c r="G13" s="22"/>
      <c r="H13" s="654">
        <v>0.25</v>
      </c>
      <c r="I13" s="22"/>
      <c r="J13" s="22"/>
      <c r="K13" s="22"/>
      <c r="L13" s="22"/>
    </row>
    <row r="14" spans="1:12">
      <c r="A14" s="376"/>
      <c r="B14" s="325"/>
      <c r="C14" s="22"/>
      <c r="D14" s="22"/>
      <c r="E14" s="22"/>
      <c r="F14" s="22"/>
      <c r="G14" s="22"/>
      <c r="H14" s="22"/>
      <c r="I14" s="22"/>
      <c r="J14" s="22"/>
      <c r="K14" s="22"/>
      <c r="L14" s="22"/>
    </row>
    <row r="15" spans="1:12">
      <c r="A15" s="376" t="s">
        <v>826</v>
      </c>
      <c r="B15" s="325"/>
      <c r="C15" s="22"/>
      <c r="D15" s="22"/>
      <c r="E15" s="22"/>
      <c r="F15" s="22"/>
      <c r="G15" s="22"/>
      <c r="H15" s="22"/>
      <c r="I15" s="22"/>
      <c r="J15" s="22"/>
      <c r="K15" s="22"/>
      <c r="L15" s="22"/>
    </row>
    <row r="16" spans="1:12">
      <c r="A16" s="22" t="s">
        <v>825</v>
      </c>
      <c r="B16" s="22"/>
      <c r="C16" s="22"/>
      <c r="D16" s="22"/>
      <c r="E16" s="22"/>
      <c r="F16" s="22"/>
      <c r="G16" s="22"/>
      <c r="H16" s="22"/>
      <c r="I16" s="654">
        <v>0.05</v>
      </c>
      <c r="J16" s="22"/>
      <c r="K16" s="22"/>
      <c r="L16" s="22"/>
    </row>
    <row r="17" spans="1:18">
      <c r="A17" s="22" t="s">
        <v>824</v>
      </c>
      <c r="B17" s="22"/>
      <c r="C17" s="22"/>
      <c r="D17" s="22"/>
      <c r="E17" s="22"/>
      <c r="F17" s="22"/>
      <c r="G17" s="22"/>
      <c r="H17" s="22"/>
      <c r="I17" s="22"/>
      <c r="J17" s="22"/>
      <c r="K17" s="22"/>
      <c r="L17" s="22"/>
    </row>
    <row r="18" spans="1:18">
      <c r="A18" s="22"/>
      <c r="B18" s="22"/>
      <c r="C18" s="22"/>
      <c r="D18" s="22"/>
      <c r="E18" s="22"/>
      <c r="F18" s="22"/>
      <c r="G18" s="22"/>
      <c r="H18" s="22"/>
      <c r="I18" s="22"/>
      <c r="J18" s="22"/>
      <c r="K18" s="22"/>
      <c r="L18" s="22"/>
    </row>
    <row r="19" spans="1:18">
      <c r="A19" s="418"/>
      <c r="B19" s="418"/>
      <c r="C19" s="418"/>
      <c r="D19" s="418"/>
      <c r="E19" s="418"/>
      <c r="F19" s="418"/>
      <c r="G19" s="418"/>
      <c r="H19" s="418"/>
      <c r="I19" s="418"/>
      <c r="J19" s="418"/>
      <c r="K19" s="418"/>
      <c r="L19" s="418"/>
    </row>
    <row r="20" spans="1:18">
      <c r="A20" s="577" t="s">
        <v>80</v>
      </c>
      <c r="B20" s="22" t="s">
        <v>823</v>
      </c>
      <c r="C20" s="22"/>
      <c r="D20" s="22"/>
      <c r="E20" s="22"/>
      <c r="F20" s="22"/>
      <c r="G20" s="22"/>
      <c r="H20" s="22"/>
      <c r="I20" s="22"/>
      <c r="J20" s="22"/>
      <c r="K20" s="22"/>
      <c r="L20" s="22"/>
      <c r="M20" s="328"/>
      <c r="N20" s="328"/>
      <c r="O20" s="328"/>
      <c r="P20" s="328"/>
      <c r="Q20" s="328"/>
      <c r="R20" s="328"/>
    </row>
    <row r="21" spans="1:18">
      <c r="A21" s="2"/>
      <c r="B21" s="2"/>
      <c r="C21" s="2"/>
      <c r="D21" s="2"/>
      <c r="E21" s="2"/>
      <c r="F21" s="2"/>
      <c r="G21" s="22"/>
      <c r="H21" s="22"/>
      <c r="I21" s="22"/>
      <c r="J21" s="22"/>
      <c r="K21" s="22"/>
      <c r="L21" s="22"/>
    </row>
    <row r="22" spans="1:18">
      <c r="A22" s="37"/>
      <c r="B22" s="37"/>
      <c r="C22" s="37"/>
      <c r="D22" s="37"/>
      <c r="E22" s="37"/>
      <c r="F22" s="37"/>
      <c r="G22" s="37"/>
      <c r="H22" s="37"/>
      <c r="I22" s="37"/>
      <c r="J22" s="37"/>
      <c r="K22" s="37"/>
      <c r="L22" s="37"/>
      <c r="M22" s="37"/>
    </row>
    <row r="23" spans="1:18">
      <c r="A23" s="37" t="s">
        <v>650</v>
      </c>
      <c r="B23" s="37"/>
      <c r="C23" s="37"/>
      <c r="D23" s="37"/>
      <c r="E23" s="37"/>
      <c r="F23" s="37"/>
      <c r="G23" s="37"/>
      <c r="H23" s="37"/>
      <c r="I23" s="37"/>
      <c r="J23" s="37"/>
      <c r="K23" s="37"/>
      <c r="L23" s="37"/>
      <c r="M23" s="37"/>
      <c r="N23" s="328"/>
    </row>
    <row r="24" spans="1:18">
      <c r="A24" s="37"/>
      <c r="E24" s="277" t="s">
        <v>680</v>
      </c>
      <c r="F24" s="277" t="s">
        <v>679</v>
      </c>
      <c r="G24" s="37"/>
      <c r="H24" s="37"/>
      <c r="I24" s="37"/>
      <c r="J24" s="37"/>
      <c r="K24" s="37"/>
      <c r="L24" s="37"/>
      <c r="M24" s="37"/>
      <c r="N24" s="328"/>
    </row>
    <row r="25" spans="1:18">
      <c r="A25" s="37"/>
      <c r="B25" s="1" t="s">
        <v>819</v>
      </c>
      <c r="E25" s="604">
        <f>F5</f>
        <v>5000000</v>
      </c>
      <c r="F25" s="658">
        <f>F5*(1-F9)</f>
        <v>4000000</v>
      </c>
      <c r="G25" s="37"/>
      <c r="H25" s="37"/>
      <c r="I25" s="37"/>
      <c r="J25" s="37"/>
      <c r="K25" s="37"/>
      <c r="L25" s="37"/>
      <c r="M25" s="37"/>
      <c r="N25" s="328"/>
    </row>
    <row r="26" spans="1:18">
      <c r="A26" s="37"/>
      <c r="E26" s="277"/>
      <c r="F26" s="277"/>
      <c r="G26" s="37"/>
      <c r="H26" s="37"/>
      <c r="I26" s="37"/>
      <c r="J26" s="37"/>
      <c r="K26" s="37"/>
      <c r="L26" s="37"/>
      <c r="M26" s="37"/>
      <c r="N26" s="328"/>
    </row>
    <row r="27" spans="1:18">
      <c r="A27" s="37"/>
      <c r="B27" s="1" t="s">
        <v>818</v>
      </c>
      <c r="E27" s="657">
        <f>F6</f>
        <v>0.6</v>
      </c>
      <c r="F27" s="657">
        <f>E27</f>
        <v>0.6</v>
      </c>
      <c r="G27" s="37"/>
      <c r="H27" s="37"/>
      <c r="I27" s="37"/>
      <c r="J27" s="37"/>
      <c r="K27" s="37"/>
      <c r="L27" s="37"/>
      <c r="M27" s="37"/>
      <c r="N27" s="328"/>
    </row>
    <row r="28" spans="1:18">
      <c r="A28" s="37"/>
      <c r="B28" s="1" t="s">
        <v>718</v>
      </c>
      <c r="E28" s="604">
        <f>E25*E27</f>
        <v>3000000</v>
      </c>
      <c r="F28" s="604">
        <f>F25*F27</f>
        <v>2400000</v>
      </c>
      <c r="G28" s="37"/>
      <c r="H28" s="37"/>
      <c r="I28" s="37"/>
      <c r="J28" s="37"/>
      <c r="K28" s="37"/>
      <c r="L28" s="37"/>
      <c r="M28" s="37"/>
      <c r="N28" s="328"/>
    </row>
    <row r="29" spans="1:18">
      <c r="A29" s="37"/>
      <c r="B29" s="1" t="s">
        <v>675</v>
      </c>
      <c r="E29" s="604">
        <f>D11*E28</f>
        <v>300000</v>
      </c>
      <c r="F29" s="604">
        <f>E29</f>
        <v>300000</v>
      </c>
      <c r="G29" s="37"/>
      <c r="H29" s="37"/>
      <c r="I29" s="37"/>
      <c r="J29" s="37"/>
      <c r="K29" s="37"/>
      <c r="L29" s="37"/>
      <c r="M29" s="37"/>
      <c r="N29" s="328"/>
    </row>
    <row r="30" spans="1:18">
      <c r="A30" s="37"/>
      <c r="B30" s="1" t="s">
        <v>817</v>
      </c>
      <c r="E30" s="604"/>
      <c r="F30" s="604">
        <f>I16*F25</f>
        <v>200000</v>
      </c>
      <c r="G30" s="37"/>
      <c r="H30" s="37"/>
      <c r="I30" s="37"/>
      <c r="J30" s="37"/>
      <c r="K30" s="37"/>
      <c r="L30" s="37"/>
      <c r="M30" s="37"/>
      <c r="N30" s="328"/>
    </row>
    <row r="31" spans="1:18">
      <c r="A31" s="37"/>
      <c r="B31" s="1" t="s">
        <v>674</v>
      </c>
      <c r="E31" s="604">
        <f>E25*D12*H13</f>
        <v>250000</v>
      </c>
      <c r="F31" s="604">
        <f>E31</f>
        <v>250000</v>
      </c>
      <c r="G31" s="37"/>
      <c r="H31" s="37"/>
      <c r="I31" s="37"/>
      <c r="J31" s="37"/>
      <c r="K31" s="37"/>
      <c r="L31" s="37"/>
      <c r="M31" s="37"/>
      <c r="N31" s="328"/>
    </row>
    <row r="32" spans="1:18">
      <c r="A32" s="37"/>
      <c r="E32" s="656"/>
      <c r="F32" s="656"/>
      <c r="G32" s="37"/>
      <c r="H32" s="37"/>
      <c r="I32" s="37"/>
      <c r="J32" s="37"/>
      <c r="K32" s="37"/>
      <c r="L32" s="37"/>
      <c r="M32" s="37"/>
      <c r="N32" s="328"/>
    </row>
    <row r="33" spans="1:14">
      <c r="A33" s="37"/>
      <c r="B33" s="1" t="s">
        <v>816</v>
      </c>
      <c r="E33" s="604">
        <f>SUM(E28:E32)</f>
        <v>3550000</v>
      </c>
      <c r="F33" s="604">
        <f>SUM(F28:F32)</f>
        <v>3150000</v>
      </c>
      <c r="G33" s="37"/>
      <c r="H33" s="37"/>
      <c r="I33" s="37"/>
      <c r="J33" s="37"/>
      <c r="K33" s="37"/>
      <c r="L33" s="37"/>
      <c r="M33" s="37"/>
      <c r="N33" s="328"/>
    </row>
    <row r="34" spans="1:14">
      <c r="A34" s="37"/>
      <c r="E34" s="277"/>
      <c r="F34" s="277"/>
      <c r="G34" s="37"/>
      <c r="H34" s="37"/>
      <c r="I34" s="37"/>
      <c r="J34" s="37"/>
      <c r="K34" s="37"/>
      <c r="L34" s="37"/>
      <c r="M34" s="37"/>
      <c r="N34" s="328"/>
    </row>
    <row r="35" spans="1:14">
      <c r="A35" s="37"/>
      <c r="B35" s="1" t="s">
        <v>815</v>
      </c>
      <c r="E35" s="277"/>
      <c r="F35" s="604">
        <f>F25-F33</f>
        <v>850000</v>
      </c>
      <c r="G35" s="37"/>
      <c r="H35" s="37"/>
      <c r="I35" s="37"/>
      <c r="J35" s="37"/>
      <c r="K35" s="37"/>
      <c r="L35" s="37"/>
      <c r="M35" s="37"/>
      <c r="N35" s="328"/>
    </row>
    <row r="36" spans="1:14">
      <c r="A36" s="37"/>
      <c r="E36" s="277"/>
      <c r="F36" s="277" t="s">
        <v>822</v>
      </c>
      <c r="G36" s="37"/>
      <c r="H36" s="37"/>
      <c r="I36" s="37"/>
      <c r="J36" s="37"/>
      <c r="K36" s="37"/>
      <c r="L36" s="37"/>
      <c r="M36" s="37"/>
      <c r="N36" s="328"/>
    </row>
    <row r="37" spans="1:14">
      <c r="M37" s="328"/>
      <c r="N37" s="328"/>
    </row>
    <row r="38" spans="1:14">
      <c r="A38" s="2"/>
      <c r="B38" s="2"/>
      <c r="C38" s="2"/>
      <c r="D38" s="2"/>
      <c r="E38" s="2"/>
      <c r="F38" s="2"/>
      <c r="G38" s="22"/>
      <c r="H38" s="22"/>
      <c r="I38" s="22"/>
      <c r="J38" s="22"/>
      <c r="K38" s="22"/>
      <c r="L38" s="22"/>
      <c r="M38" s="328"/>
      <c r="N38" s="328"/>
    </row>
    <row r="39" spans="1:14">
      <c r="A39" s="22" t="s">
        <v>821</v>
      </c>
      <c r="B39" s="22"/>
      <c r="C39" s="22"/>
      <c r="D39" s="22"/>
      <c r="E39" s="22"/>
      <c r="F39" s="22"/>
      <c r="G39" s="22"/>
      <c r="H39" s="22"/>
      <c r="I39" s="654">
        <v>0.5</v>
      </c>
      <c r="J39" s="2"/>
      <c r="K39" s="22"/>
      <c r="L39" s="22"/>
      <c r="M39" s="328"/>
      <c r="N39" s="328"/>
    </row>
    <row r="40" spans="1:14">
      <c r="A40" s="2"/>
      <c r="B40" s="2"/>
      <c r="C40" s="2"/>
      <c r="D40" s="2"/>
      <c r="E40" s="2"/>
      <c r="F40" s="2"/>
      <c r="G40" s="22"/>
      <c r="H40" s="22"/>
      <c r="I40" s="22"/>
      <c r="J40" s="22"/>
      <c r="K40" s="22"/>
      <c r="L40" s="22"/>
      <c r="M40" s="328"/>
      <c r="N40" s="328"/>
    </row>
    <row r="41" spans="1:14">
      <c r="A41" s="2"/>
      <c r="B41" s="2"/>
      <c r="C41" s="2"/>
      <c r="D41" s="2"/>
      <c r="E41" s="2"/>
      <c r="F41" s="2"/>
      <c r="G41" s="2"/>
      <c r="H41" s="2"/>
      <c r="I41" s="2"/>
      <c r="J41" s="2"/>
      <c r="K41" s="2"/>
      <c r="L41" s="2"/>
    </row>
    <row r="42" spans="1:14">
      <c r="A42" s="577" t="s">
        <v>9</v>
      </c>
      <c r="B42" s="1724" t="s">
        <v>820</v>
      </c>
      <c r="C42" s="1724"/>
      <c r="D42" s="1724"/>
      <c r="E42" s="1724"/>
      <c r="F42" s="1724"/>
      <c r="G42" s="1724"/>
      <c r="H42" s="1724"/>
      <c r="I42" s="1724"/>
      <c r="J42" s="1724"/>
      <c r="K42" s="1724"/>
      <c r="L42" s="22"/>
    </row>
    <row r="43" spans="1:14">
      <c r="A43" s="577"/>
      <c r="B43" s="1724"/>
      <c r="C43" s="1724"/>
      <c r="D43" s="1724"/>
      <c r="E43" s="1724"/>
      <c r="F43" s="1724"/>
      <c r="G43" s="1724"/>
      <c r="H43" s="1724"/>
      <c r="I43" s="1724"/>
      <c r="J43" s="1724"/>
      <c r="K43" s="1724"/>
      <c r="L43" s="22"/>
    </row>
    <row r="44" spans="1:14">
      <c r="A44" s="2"/>
      <c r="B44" s="2"/>
      <c r="C44" s="2"/>
      <c r="D44" s="2"/>
      <c r="E44" s="2"/>
      <c r="F44" s="2"/>
      <c r="G44" s="22"/>
      <c r="H44" s="22"/>
      <c r="I44" s="22"/>
      <c r="J44" s="22"/>
      <c r="K44" s="22"/>
      <c r="L44" s="22"/>
    </row>
    <row r="45" spans="1:14">
      <c r="A45" s="37"/>
      <c r="B45" s="37"/>
      <c r="C45" s="37"/>
      <c r="D45" s="37"/>
      <c r="E45" s="37"/>
      <c r="F45" s="37"/>
      <c r="G45" s="37"/>
      <c r="H45" s="37"/>
      <c r="I45" s="37"/>
      <c r="J45" s="37"/>
      <c r="K45" s="37"/>
      <c r="L45" s="37"/>
    </row>
    <row r="46" spans="1:14">
      <c r="A46" s="37" t="s">
        <v>650</v>
      </c>
      <c r="B46" s="37"/>
      <c r="C46" s="37"/>
      <c r="D46" s="37"/>
      <c r="E46" s="37"/>
      <c r="F46" s="37"/>
      <c r="G46" s="37"/>
      <c r="H46" s="37"/>
      <c r="I46" s="37"/>
      <c r="J46" s="37"/>
      <c r="K46" s="37"/>
      <c r="L46" s="37"/>
    </row>
    <row r="47" spans="1:14">
      <c r="A47" s="37"/>
      <c r="F47" s="277" t="s">
        <v>679</v>
      </c>
      <c r="G47" s="37"/>
      <c r="H47" s="37"/>
      <c r="I47" s="37"/>
      <c r="J47" s="37"/>
      <c r="K47" s="37"/>
      <c r="L47" s="37"/>
    </row>
    <row r="48" spans="1:14">
      <c r="A48" s="37"/>
      <c r="B48" s="1" t="s">
        <v>819</v>
      </c>
      <c r="F48" s="658">
        <f>F25</f>
        <v>4000000</v>
      </c>
      <c r="G48" s="37"/>
      <c r="H48" s="37"/>
      <c r="I48" s="37"/>
      <c r="J48" s="37"/>
      <c r="K48" s="37"/>
      <c r="L48" s="37"/>
    </row>
    <row r="49" spans="2:13">
      <c r="F49" s="277"/>
      <c r="M49" s="37"/>
    </row>
    <row r="50" spans="2:13">
      <c r="B50" s="1" t="s">
        <v>818</v>
      </c>
      <c r="F50" s="657">
        <f>F27*1.5</f>
        <v>0.89999999999999991</v>
      </c>
      <c r="M50" s="37"/>
    </row>
    <row r="51" spans="2:13">
      <c r="B51" s="1" t="s">
        <v>718</v>
      </c>
      <c r="F51" s="604">
        <f>F48*F50</f>
        <v>3599999.9999999995</v>
      </c>
      <c r="M51" s="37"/>
    </row>
    <row r="52" spans="2:13">
      <c r="B52" s="1" t="s">
        <v>675</v>
      </c>
      <c r="F52" s="604">
        <f>E29*1.5</f>
        <v>450000</v>
      </c>
    </row>
    <row r="53" spans="2:13">
      <c r="B53" s="1" t="s">
        <v>817</v>
      </c>
      <c r="F53" s="604">
        <f>F30</f>
        <v>200000</v>
      </c>
    </row>
    <row r="54" spans="2:13">
      <c r="B54" s="1" t="s">
        <v>674</v>
      </c>
      <c r="F54" s="604">
        <f>F31</f>
        <v>250000</v>
      </c>
    </row>
    <row r="55" spans="2:13">
      <c r="F55" s="656"/>
    </row>
    <row r="56" spans="2:13">
      <c r="B56" s="1" t="s">
        <v>816</v>
      </c>
      <c r="F56" s="604">
        <f>SUM(F51:F55)</f>
        <v>4500000</v>
      </c>
    </row>
    <row r="58" spans="2:13">
      <c r="B58" s="1" t="s">
        <v>815</v>
      </c>
      <c r="F58" s="604">
        <f>F48-F56</f>
        <v>-500000</v>
      </c>
    </row>
    <row r="59" spans="2:13">
      <c r="F59" s="277" t="s">
        <v>814</v>
      </c>
    </row>
  </sheetData>
  <mergeCells count="1">
    <mergeCell ref="B42:K43"/>
  </mergeCells>
  <pageMargins left="0.7" right="0.7" top="0.75" bottom="0.75" header="0.3" footer="0.3"/>
  <pageSetup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83BD-AC89-4ABD-917B-8A46ADEB855F}">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B5E7E-B9B0-4C93-8B1B-D78BE45EDBCB}">
  <dimension ref="A1:J44"/>
  <sheetViews>
    <sheetView zoomScaleNormal="100" workbookViewId="0"/>
  </sheetViews>
  <sheetFormatPr defaultColWidth="9.109375" defaultRowHeight="15.6"/>
  <cols>
    <col min="1" max="1" width="11.109375" style="1" customWidth="1"/>
    <col min="2" max="2" width="11.44140625" style="1" customWidth="1"/>
    <col min="3" max="3" width="11.109375" style="1" customWidth="1"/>
    <col min="4" max="4" width="12.33203125" style="1" customWidth="1"/>
    <col min="5" max="5" width="13" style="1" customWidth="1"/>
    <col min="6" max="6" width="11.6640625" style="1" customWidth="1"/>
    <col min="7" max="7" width="10.109375" style="1" customWidth="1"/>
    <col min="8" max="26" width="8.88671875" style="1" customWidth="1"/>
    <col min="27" max="16384" width="9.109375" style="1"/>
  </cols>
  <sheetData>
    <row r="1" spans="1:10" ht="17.399999999999999">
      <c r="A1" s="23" t="s">
        <v>859</v>
      </c>
      <c r="B1" s="22"/>
      <c r="C1" s="22"/>
      <c r="D1" s="22"/>
      <c r="E1" s="22"/>
      <c r="F1" s="22"/>
      <c r="G1" s="22"/>
      <c r="H1" s="22"/>
      <c r="I1" s="22"/>
      <c r="J1" s="22"/>
    </row>
    <row r="2" spans="1:10" ht="15.75" customHeight="1">
      <c r="A2" s="1655" t="s">
        <v>858</v>
      </c>
      <c r="B2" s="1655"/>
      <c r="C2" s="1655"/>
      <c r="D2" s="1655"/>
      <c r="E2" s="1655"/>
      <c r="F2" s="1655"/>
      <c r="G2" s="1655"/>
      <c r="H2" s="1655"/>
      <c r="I2" s="1655"/>
      <c r="J2" s="1655"/>
    </row>
    <row r="3" spans="1:10">
      <c r="A3" s="1655"/>
      <c r="B3" s="1655"/>
      <c r="C3" s="1655"/>
      <c r="D3" s="1655"/>
      <c r="E3" s="1655"/>
      <c r="F3" s="1655"/>
      <c r="G3" s="1655"/>
      <c r="H3" s="1655"/>
      <c r="I3" s="1655"/>
      <c r="J3" s="1655"/>
    </row>
    <row r="4" spans="1:10">
      <c r="A4" s="45"/>
      <c r="B4" s="45"/>
      <c r="C4" s="45"/>
      <c r="D4" s="45"/>
      <c r="E4" s="45"/>
      <c r="F4" s="45"/>
      <c r="G4" s="45"/>
      <c r="H4" s="45"/>
      <c r="I4" s="45"/>
      <c r="J4" s="45"/>
    </row>
    <row r="5" spans="1:10">
      <c r="A5" s="4" t="s">
        <v>857</v>
      </c>
      <c r="B5" s="3"/>
      <c r="C5" s="3"/>
      <c r="D5" s="3"/>
      <c r="E5" s="3"/>
      <c r="F5" s="3"/>
      <c r="G5" s="3"/>
      <c r="H5" s="3"/>
      <c r="I5" s="3"/>
      <c r="J5" s="2"/>
    </row>
    <row r="6" spans="1:10" ht="16.2">
      <c r="A6" s="5"/>
      <c r="B6" s="3"/>
      <c r="C6" s="3"/>
      <c r="D6" s="3"/>
      <c r="E6" s="3"/>
      <c r="F6" s="3"/>
      <c r="G6" s="3"/>
      <c r="H6" s="3"/>
      <c r="I6" s="3"/>
      <c r="J6" s="2"/>
    </row>
    <row r="7" spans="1:10">
      <c r="A7" s="3" t="s">
        <v>856</v>
      </c>
      <c r="B7" s="3"/>
      <c r="C7" s="3"/>
      <c r="D7" s="3"/>
      <c r="E7" s="3"/>
      <c r="F7" s="3"/>
      <c r="G7" s="3"/>
      <c r="H7" s="3"/>
      <c r="I7" s="3"/>
      <c r="J7" s="2"/>
    </row>
    <row r="8" spans="1:10">
      <c r="A8" s="3"/>
      <c r="B8" s="3"/>
      <c r="C8" s="3"/>
      <c r="D8" s="3"/>
      <c r="E8" s="3"/>
      <c r="F8" s="3"/>
      <c r="G8" s="3"/>
      <c r="H8" s="3"/>
      <c r="I8" s="3"/>
      <c r="J8" s="2"/>
    </row>
    <row r="9" spans="1:10">
      <c r="A9" s="1780"/>
      <c r="B9" s="1780"/>
      <c r="C9" s="1780"/>
      <c r="D9" s="84" t="s">
        <v>855</v>
      </c>
      <c r="E9" s="84" t="s">
        <v>854</v>
      </c>
      <c r="F9" s="3"/>
      <c r="G9" s="3"/>
      <c r="H9" s="3"/>
      <c r="I9" s="3"/>
      <c r="J9" s="2"/>
    </row>
    <row r="10" spans="1:10">
      <c r="A10" s="1779" t="s">
        <v>853</v>
      </c>
      <c r="B10" s="1779"/>
      <c r="C10" s="1779"/>
      <c r="D10" s="668">
        <v>0.6</v>
      </c>
      <c r="E10" s="668">
        <v>0.4</v>
      </c>
      <c r="F10" s="3"/>
      <c r="G10" s="3"/>
      <c r="H10" s="3"/>
      <c r="I10" s="3"/>
      <c r="J10" s="2"/>
    </row>
    <row r="11" spans="1:10">
      <c r="A11" s="1779" t="s">
        <v>846</v>
      </c>
      <c r="B11" s="1779"/>
      <c r="C11" s="1779"/>
      <c r="D11" s="668">
        <v>0.08</v>
      </c>
      <c r="E11" s="668">
        <v>0.05</v>
      </c>
      <c r="F11" s="3"/>
      <c r="G11" s="3"/>
      <c r="H11" s="3"/>
      <c r="I11" s="3"/>
      <c r="J11" s="2"/>
    </row>
    <row r="12" spans="1:10">
      <c r="A12" s="1779" t="s">
        <v>845</v>
      </c>
      <c r="B12" s="1779"/>
      <c r="C12" s="1779"/>
      <c r="D12" s="668">
        <v>0.04</v>
      </c>
      <c r="E12" s="668">
        <v>7.0000000000000007E-2</v>
      </c>
      <c r="F12" s="3"/>
      <c r="G12" s="3"/>
      <c r="H12" s="3"/>
      <c r="I12" s="3"/>
      <c r="J12" s="2"/>
    </row>
    <row r="13" spans="1:10">
      <c r="A13" s="1779" t="s">
        <v>844</v>
      </c>
      <c r="B13" s="1779"/>
      <c r="C13" s="1779"/>
      <c r="D13" s="668">
        <v>0.04</v>
      </c>
      <c r="E13" s="668">
        <v>0.03</v>
      </c>
      <c r="F13" s="3"/>
      <c r="G13" s="3"/>
      <c r="H13" s="3"/>
      <c r="I13" s="3"/>
      <c r="J13" s="2"/>
    </row>
    <row r="14" spans="1:10">
      <c r="A14" s="3"/>
      <c r="B14" s="3"/>
      <c r="C14" s="3"/>
      <c r="D14" s="669"/>
      <c r="E14" s="669"/>
      <c r="F14" s="163"/>
      <c r="G14" s="3"/>
      <c r="H14" s="3"/>
      <c r="I14" s="3"/>
      <c r="J14" s="2"/>
    </row>
    <row r="15" spans="1:10">
      <c r="A15" s="3" t="s">
        <v>852</v>
      </c>
      <c r="B15" s="3"/>
      <c r="C15" s="3"/>
      <c r="D15" s="669"/>
      <c r="E15" s="669"/>
      <c r="F15" s="163"/>
      <c r="G15" s="3"/>
      <c r="H15" s="3"/>
      <c r="I15" s="3"/>
      <c r="J15" s="2"/>
    </row>
    <row r="16" spans="1:10">
      <c r="A16" s="3"/>
      <c r="B16" s="3"/>
      <c r="C16" s="3"/>
      <c r="D16" s="163"/>
      <c r="E16" s="163"/>
      <c r="F16" s="163"/>
      <c r="G16" s="3"/>
      <c r="H16" s="3"/>
      <c r="I16" s="3"/>
      <c r="J16" s="2"/>
    </row>
    <row r="17" spans="1:10">
      <c r="A17" s="1779" t="s">
        <v>851</v>
      </c>
      <c r="B17" s="1779"/>
      <c r="C17" s="1779"/>
      <c r="D17" s="668">
        <v>0</v>
      </c>
      <c r="E17" s="163"/>
      <c r="F17" s="163"/>
      <c r="G17" s="3"/>
      <c r="H17" s="3"/>
      <c r="I17" s="3"/>
      <c r="J17" s="2"/>
    </row>
    <row r="18" spans="1:10">
      <c r="A18" s="1779" t="s">
        <v>850</v>
      </c>
      <c r="B18" s="1779"/>
      <c r="C18" s="1779"/>
      <c r="D18" s="668">
        <v>0.5</v>
      </c>
      <c r="E18" s="163"/>
      <c r="F18" s="163"/>
      <c r="G18" s="3"/>
      <c r="H18" s="3"/>
      <c r="I18" s="3"/>
      <c r="J18" s="2"/>
    </row>
    <row r="19" spans="1:10">
      <c r="A19" s="1779" t="s">
        <v>849</v>
      </c>
      <c r="B19" s="1779"/>
      <c r="C19" s="1779"/>
      <c r="D19" s="668">
        <v>0.3</v>
      </c>
      <c r="E19" s="163"/>
      <c r="F19" s="163"/>
      <c r="G19" s="3"/>
      <c r="H19" s="3"/>
      <c r="I19" s="3"/>
      <c r="J19" s="2"/>
    </row>
    <row r="20" spans="1:10">
      <c r="A20" s="3"/>
      <c r="B20" s="3"/>
      <c r="C20" s="3"/>
      <c r="D20" s="3"/>
      <c r="E20" s="3"/>
      <c r="F20" s="3"/>
      <c r="G20" s="3"/>
      <c r="H20" s="3"/>
      <c r="I20" s="3"/>
      <c r="J20" s="2"/>
    </row>
    <row r="21" spans="1:10">
      <c r="A21" s="47" t="s">
        <v>848</v>
      </c>
      <c r="B21" s="3"/>
      <c r="C21" s="3"/>
      <c r="D21" s="3"/>
      <c r="E21" s="3"/>
      <c r="F21" s="3"/>
      <c r="G21" s="3"/>
      <c r="H21" s="3"/>
      <c r="I21" s="3"/>
      <c r="J21" s="2"/>
    </row>
    <row r="22" spans="1:10">
      <c r="A22" s="47"/>
      <c r="B22" s="3"/>
      <c r="C22" s="3"/>
      <c r="D22" s="3"/>
      <c r="E22" s="3"/>
      <c r="F22" s="3"/>
      <c r="G22" s="3"/>
      <c r="H22" s="3"/>
      <c r="I22" s="3"/>
      <c r="J22" s="2"/>
    </row>
    <row r="23" spans="1:10">
      <c r="A23" s="667" t="s">
        <v>847</v>
      </c>
      <c r="B23" s="4"/>
      <c r="C23" s="4"/>
      <c r="D23" s="4"/>
      <c r="E23" s="4"/>
      <c r="F23" s="4"/>
      <c r="G23" s="4"/>
      <c r="H23" s="4"/>
      <c r="I23" s="4"/>
      <c r="J23" s="2"/>
    </row>
    <row r="24" spans="1:10">
      <c r="A24" s="1" t="s">
        <v>50</v>
      </c>
    </row>
    <row r="26" spans="1:10">
      <c r="A26" s="1" t="s">
        <v>846</v>
      </c>
      <c r="D26" s="664">
        <f>SQRT(D$10^2*D11^2+E$10^2*E11^2+2*D$10*E$10*D17*D11*E11)</f>
        <v>5.2000000000000005E-2</v>
      </c>
    </row>
    <row r="27" spans="1:10">
      <c r="A27" s="1" t="s">
        <v>845</v>
      </c>
      <c r="D27" s="664">
        <f>SQRT(D$10^2*D12^2+E$10^2*E12^2+2*D$10*E$10*D18*D12*E12)</f>
        <v>4.5077710678338587E-2</v>
      </c>
    </row>
    <row r="28" spans="1:10">
      <c r="A28" s="1" t="s">
        <v>844</v>
      </c>
      <c r="D28" s="664">
        <f>SQRT(D$10^2*D13^2+E$10^2*E13^2+2*D$10*E$10*D19*D13*E13)</f>
        <v>2.9879759035172957E-2</v>
      </c>
    </row>
    <row r="30" spans="1:10">
      <c r="A30" s="47" t="s">
        <v>843</v>
      </c>
      <c r="B30" s="3"/>
      <c r="C30" s="3"/>
      <c r="D30" s="3"/>
      <c r="E30" s="3"/>
      <c r="F30" s="3"/>
      <c r="G30" s="3"/>
      <c r="H30" s="3"/>
      <c r="I30" s="3"/>
      <c r="J30" s="2"/>
    </row>
    <row r="31" spans="1:10">
      <c r="A31" s="666" t="s">
        <v>842</v>
      </c>
      <c r="B31" s="3"/>
      <c r="C31" s="3"/>
      <c r="D31" s="3"/>
      <c r="E31" s="3"/>
      <c r="F31" s="3"/>
      <c r="G31" s="3"/>
      <c r="H31" s="3"/>
      <c r="I31" s="3"/>
      <c r="J31" s="2"/>
    </row>
    <row r="32" spans="1:10">
      <c r="A32" s="666"/>
      <c r="B32" s="3"/>
      <c r="C32" s="3"/>
      <c r="D32" s="3"/>
      <c r="E32" s="3"/>
      <c r="F32" s="3"/>
      <c r="G32" s="3"/>
      <c r="H32" s="3"/>
      <c r="I32" s="3"/>
      <c r="J32" s="2"/>
    </row>
    <row r="33" spans="1:10">
      <c r="A33" s="665" t="s">
        <v>841</v>
      </c>
      <c r="B33" s="3"/>
      <c r="C33" s="3"/>
      <c r="D33" s="3"/>
      <c r="E33" s="3"/>
      <c r="F33" s="3"/>
      <c r="G33" s="3"/>
      <c r="H33" s="3"/>
      <c r="I33" s="3"/>
      <c r="J33" s="2"/>
    </row>
    <row r="34" spans="1:10">
      <c r="A34" s="1" t="s">
        <v>50</v>
      </c>
    </row>
    <row r="36" spans="1:10">
      <c r="A36" s="1" t="s">
        <v>840</v>
      </c>
      <c r="D36" s="664">
        <f>SQRT(SUMSQ(D26:D28))</f>
        <v>7.5025329056259402E-2</v>
      </c>
    </row>
    <row r="41" spans="1:10" ht="19.95" customHeight="1"/>
    <row r="42" spans="1:10" ht="19.95" customHeight="1"/>
    <row r="43" spans="1:10" ht="19.95" customHeight="1"/>
    <row r="44" spans="1:10" ht="19.95" customHeight="1"/>
  </sheetData>
  <mergeCells count="9">
    <mergeCell ref="A17:C17"/>
    <mergeCell ref="A18:C18"/>
    <mergeCell ref="A19:C19"/>
    <mergeCell ref="A2:J3"/>
    <mergeCell ref="A9:C9"/>
    <mergeCell ref="A10:C10"/>
    <mergeCell ref="A11:C11"/>
    <mergeCell ref="A12:C12"/>
    <mergeCell ref="A13:C13"/>
  </mergeCells>
  <pageMargins left="0.7" right="0.7" top="0.75" bottom="0.75" header="0.3" footer="0.3"/>
  <pageSetup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32C8F-8A5E-4376-BFA6-80EA33A3D09F}">
  <dimension ref="A1:BW314"/>
  <sheetViews>
    <sheetView zoomScaleNormal="100" workbookViewId="0"/>
  </sheetViews>
  <sheetFormatPr defaultColWidth="9.109375" defaultRowHeight="15.6"/>
  <cols>
    <col min="1" max="1" width="9.109375" style="1"/>
    <col min="2" max="6" width="16.6640625" style="1" customWidth="1"/>
    <col min="7" max="12" width="9.109375" style="1"/>
    <col min="13" max="13" width="9.109375" customWidth="1"/>
    <col min="76" max="16384" width="9.109375" style="1"/>
  </cols>
  <sheetData>
    <row r="1" spans="1:12" ht="15.75" customHeight="1">
      <c r="A1" s="23" t="s">
        <v>859</v>
      </c>
      <c r="B1" s="22"/>
      <c r="C1" s="5" t="s">
        <v>38</v>
      </c>
      <c r="D1" s="22"/>
      <c r="E1" s="22"/>
      <c r="F1" s="22"/>
      <c r="G1" s="22"/>
      <c r="H1" s="22"/>
      <c r="I1" s="22"/>
      <c r="J1" s="22"/>
      <c r="K1" s="22"/>
      <c r="L1" s="2"/>
    </row>
    <row r="2" spans="1:12" ht="15.75" customHeight="1">
      <c r="A2" s="21"/>
      <c r="B2" s="21"/>
      <c r="C2" s="160" t="s">
        <v>873</v>
      </c>
      <c r="D2" s="688"/>
      <c r="E2" s="688"/>
      <c r="F2" s="688"/>
      <c r="G2" s="688"/>
      <c r="H2" s="688"/>
      <c r="I2" s="688"/>
      <c r="J2" s="688"/>
      <c r="K2" s="688"/>
      <c r="L2" s="165"/>
    </row>
    <row r="3" spans="1:12" ht="15.75" customHeight="1">
      <c r="A3" s="1670" t="s">
        <v>872</v>
      </c>
      <c r="B3" s="1670"/>
      <c r="C3" s="1670"/>
      <c r="D3" s="1670"/>
      <c r="E3" s="1670"/>
      <c r="F3" s="1670"/>
      <c r="G3" s="1670"/>
      <c r="H3" s="1670"/>
      <c r="I3" s="1670"/>
      <c r="J3" s="1670"/>
      <c r="K3" s="1670"/>
      <c r="L3" s="1670"/>
    </row>
    <row r="4" spans="1:12" ht="15.75" customHeight="1">
      <c r="A4" s="21"/>
      <c r="B4" s="3"/>
      <c r="C4" s="3"/>
      <c r="D4" s="3"/>
      <c r="E4" s="3"/>
      <c r="F4" s="3"/>
      <c r="G4" s="3"/>
      <c r="H4" s="3"/>
      <c r="I4" s="3"/>
      <c r="J4" s="3"/>
      <c r="K4" s="3"/>
      <c r="L4" s="2"/>
    </row>
    <row r="5" spans="1:12" ht="31.5" customHeight="1">
      <c r="A5" s="1670" t="s">
        <v>871</v>
      </c>
      <c r="B5" s="1670"/>
      <c r="C5" s="1670"/>
      <c r="D5" s="1670"/>
      <c r="E5" s="1670"/>
      <c r="F5" s="1670"/>
      <c r="G5" s="1670"/>
      <c r="H5" s="1670"/>
      <c r="I5" s="1670"/>
      <c r="J5" s="1670"/>
      <c r="K5" s="1670"/>
      <c r="L5" s="1670"/>
    </row>
    <row r="6" spans="1:12" ht="15.75" customHeight="1">
      <c r="A6" s="3"/>
      <c r="B6" s="687"/>
      <c r="C6" s="687"/>
      <c r="D6" s="687"/>
      <c r="E6" s="3"/>
      <c r="F6" s="3"/>
      <c r="G6" s="3"/>
      <c r="H6" s="3"/>
      <c r="I6" s="3"/>
      <c r="J6" s="3"/>
      <c r="K6" s="3"/>
      <c r="L6" s="2"/>
    </row>
    <row r="7" spans="1:12" ht="15.75" customHeight="1">
      <c r="A7" s="3"/>
      <c r="B7" s="1781" t="s">
        <v>870</v>
      </c>
      <c r="C7" s="1781" t="s">
        <v>869</v>
      </c>
      <c r="D7" s="1783" t="s">
        <v>868</v>
      </c>
      <c r="E7" s="1784"/>
      <c r="F7" s="1785"/>
      <c r="G7" s="3"/>
      <c r="H7" s="3"/>
      <c r="I7" s="3"/>
      <c r="J7" s="3"/>
      <c r="K7" s="3"/>
      <c r="L7" s="2"/>
    </row>
    <row r="8" spans="1:12" ht="31.5" customHeight="1">
      <c r="A8" s="3"/>
      <c r="B8" s="1782"/>
      <c r="C8" s="1782"/>
      <c r="D8" s="134" t="s">
        <v>851</v>
      </c>
      <c r="E8" s="134" t="s">
        <v>850</v>
      </c>
      <c r="F8" s="134" t="s">
        <v>849</v>
      </c>
      <c r="G8" s="3"/>
      <c r="H8" s="3"/>
      <c r="I8" s="3"/>
      <c r="J8" s="3"/>
      <c r="K8" s="3"/>
      <c r="L8" s="2"/>
    </row>
    <row r="9" spans="1:12" ht="15.75" customHeight="1">
      <c r="A9" s="3"/>
      <c r="B9" s="133" t="s">
        <v>855</v>
      </c>
      <c r="C9" s="683">
        <v>8000</v>
      </c>
      <c r="D9" s="682">
        <v>0.06</v>
      </c>
      <c r="E9" s="682">
        <v>0.05</v>
      </c>
      <c r="F9" s="682">
        <v>4.4999999999999998E-2</v>
      </c>
      <c r="G9" s="3"/>
      <c r="H9" s="3"/>
      <c r="I9" s="3"/>
      <c r="J9" s="3"/>
      <c r="K9" s="3"/>
      <c r="L9" s="2"/>
    </row>
    <row r="10" spans="1:12" ht="15.75" customHeight="1">
      <c r="A10" s="3"/>
      <c r="B10" s="133" t="s">
        <v>660</v>
      </c>
      <c r="C10" s="683">
        <v>4000</v>
      </c>
      <c r="D10" s="682">
        <v>0.1</v>
      </c>
      <c r="E10" s="682">
        <v>0.09</v>
      </c>
      <c r="F10" s="682">
        <v>0.04</v>
      </c>
      <c r="G10" s="3"/>
      <c r="H10" s="3"/>
      <c r="I10" s="3"/>
      <c r="J10" s="3"/>
      <c r="K10" s="3"/>
      <c r="L10" s="2"/>
    </row>
    <row r="11" spans="1:12" ht="15.75" customHeight="1">
      <c r="A11" s="3"/>
      <c r="B11" s="134" t="s">
        <v>98</v>
      </c>
      <c r="C11" s="681">
        <v>12000</v>
      </c>
      <c r="D11" s="680">
        <v>5.1999999999999998E-2</v>
      </c>
      <c r="E11" s="680">
        <v>0.05</v>
      </c>
      <c r="F11" s="680">
        <v>3.3000000000000002E-2</v>
      </c>
      <c r="G11" s="3"/>
      <c r="H11" s="3"/>
      <c r="I11" s="3"/>
      <c r="J11" s="3"/>
      <c r="K11" s="3"/>
      <c r="L11" s="2"/>
    </row>
    <row r="12" spans="1:12" ht="15.75" customHeight="1">
      <c r="A12" s="3"/>
      <c r="B12" s="679"/>
      <c r="C12" s="677"/>
      <c r="D12" s="676"/>
      <c r="E12" s="3"/>
      <c r="F12" s="3"/>
      <c r="G12" s="3"/>
      <c r="H12" s="3"/>
      <c r="I12" s="3"/>
      <c r="J12" s="3"/>
      <c r="K12" s="3"/>
      <c r="L12" s="2"/>
    </row>
    <row r="13" spans="1:12" ht="15.75" customHeight="1">
      <c r="A13" s="674" t="s">
        <v>864</v>
      </c>
      <c r="B13" s="678" t="s">
        <v>867</v>
      </c>
      <c r="C13" s="677"/>
      <c r="D13" s="676"/>
      <c r="E13" s="675">
        <v>0.25</v>
      </c>
      <c r="F13" s="3"/>
      <c r="G13" s="3"/>
      <c r="H13" s="3"/>
      <c r="I13" s="3"/>
      <c r="J13" s="3"/>
      <c r="K13" s="3"/>
      <c r="L13" s="2"/>
    </row>
    <row r="14" spans="1:12" ht="15.75" customHeight="1">
      <c r="A14" s="674" t="s">
        <v>864</v>
      </c>
      <c r="B14" s="3" t="s">
        <v>866</v>
      </c>
      <c r="C14" s="3"/>
      <c r="D14" s="3"/>
      <c r="E14" s="675">
        <v>0</v>
      </c>
      <c r="F14" s="3"/>
      <c r="G14" s="3"/>
      <c r="H14" s="3"/>
      <c r="I14" s="3"/>
      <c r="J14" s="3"/>
      <c r="K14" s="3"/>
      <c r="L14" s="2"/>
    </row>
    <row r="15" spans="1:12" ht="15.75" customHeight="1">
      <c r="A15" s="674" t="s">
        <v>864</v>
      </c>
      <c r="B15" s="3" t="s">
        <v>865</v>
      </c>
      <c r="C15" s="3"/>
      <c r="D15" s="3"/>
      <c r="E15" s="3"/>
      <c r="F15" s="3"/>
      <c r="G15" s="3"/>
      <c r="H15" s="3"/>
      <c r="I15" s="3"/>
      <c r="J15" s="3"/>
      <c r="K15" s="74"/>
      <c r="L15" s="2"/>
    </row>
    <row r="16" spans="1:12" ht="15.75" customHeight="1">
      <c r="A16" s="674" t="s">
        <v>864</v>
      </c>
      <c r="B16" s="3" t="s">
        <v>863</v>
      </c>
      <c r="C16" s="3"/>
      <c r="D16" s="3"/>
      <c r="E16" s="11">
        <v>0.84160000000000001</v>
      </c>
      <c r="F16" s="3"/>
      <c r="G16" s="3"/>
      <c r="H16" s="3"/>
      <c r="I16" s="3"/>
      <c r="J16" s="3"/>
      <c r="K16" s="74"/>
      <c r="L16" s="2"/>
    </row>
    <row r="17" spans="1:12" ht="15.75" customHeight="1">
      <c r="A17" s="3"/>
      <c r="B17" s="3"/>
      <c r="C17" s="673"/>
      <c r="D17" s="3"/>
      <c r="E17" s="3"/>
      <c r="F17" s="3"/>
      <c r="G17" s="3"/>
      <c r="H17" s="3"/>
      <c r="I17" s="3"/>
      <c r="J17" s="3"/>
      <c r="K17" s="74"/>
      <c r="L17" s="3"/>
    </row>
    <row r="18" spans="1:12" ht="15.75" customHeight="1">
      <c r="A18" s="3" t="s">
        <v>80</v>
      </c>
      <c r="B18" s="3" t="s">
        <v>862</v>
      </c>
      <c r="C18" s="3"/>
      <c r="D18" s="3"/>
      <c r="E18" s="3"/>
      <c r="F18" s="3"/>
      <c r="G18" s="3"/>
      <c r="H18" s="3"/>
      <c r="I18" s="3"/>
      <c r="J18" s="3"/>
      <c r="K18" s="3"/>
      <c r="L18" s="2"/>
    </row>
    <row r="19" spans="1:12" ht="15.75" customHeight="1">
      <c r="A19" s="5"/>
      <c r="B19" s="5" t="s">
        <v>64</v>
      </c>
      <c r="C19" s="5"/>
      <c r="D19" s="4"/>
      <c r="E19" s="4"/>
      <c r="F19" s="4"/>
      <c r="G19" s="4"/>
      <c r="H19" s="3"/>
      <c r="I19" s="3"/>
      <c r="J19" s="2"/>
      <c r="K19" s="3"/>
      <c r="L19" s="2"/>
    </row>
    <row r="20" spans="1:12" ht="15.75" customHeight="1">
      <c r="A20"/>
      <c r="C20"/>
      <c r="D20"/>
      <c r="E20"/>
      <c r="F20"/>
      <c r="G20"/>
      <c r="H20"/>
      <c r="I20"/>
      <c r="J20"/>
      <c r="K20"/>
      <c r="L20"/>
    </row>
    <row r="21" spans="1:12" ht="15.75" customHeight="1">
      <c r="A21"/>
      <c r="B21" s="672">
        <f>SQRT(E9^2*(C9/C11)^2+E10^2*(C10/C11)^2+2*E13*E9*E10*(C9/C11)*(C10/C11))</f>
        <v>5.0110987927909696E-2</v>
      </c>
      <c r="C21"/>
      <c r="D21"/>
      <c r="E21"/>
      <c r="F21"/>
      <c r="G21"/>
      <c r="H21"/>
      <c r="I21"/>
      <c r="J21"/>
      <c r="K21"/>
      <c r="L21"/>
    </row>
    <row r="22" spans="1:12" ht="15.75" customHeight="1">
      <c r="A22"/>
      <c r="B22"/>
      <c r="C22"/>
      <c r="D22"/>
      <c r="E22"/>
      <c r="F22"/>
      <c r="G22"/>
      <c r="H22"/>
      <c r="I22"/>
      <c r="J22"/>
      <c r="K22"/>
      <c r="L22"/>
    </row>
    <row r="23" spans="1:12" ht="15.75" customHeight="1">
      <c r="A23" s="3" t="s">
        <v>9</v>
      </c>
      <c r="B23" s="3" t="s">
        <v>861</v>
      </c>
      <c r="C23" s="3"/>
      <c r="D23" s="3"/>
      <c r="E23" s="3"/>
      <c r="F23" s="3"/>
      <c r="G23" s="3"/>
      <c r="H23" s="3"/>
      <c r="I23" s="3"/>
      <c r="J23" s="3"/>
      <c r="K23" s="3"/>
      <c r="L23" s="2"/>
    </row>
    <row r="24" spans="1:12" ht="15.75" customHeight="1">
      <c r="A24" s="3"/>
      <c r="B24" s="5" t="s">
        <v>64</v>
      </c>
      <c r="C24" s="72"/>
      <c r="D24" s="3"/>
      <c r="E24" s="3"/>
      <c r="F24" s="3"/>
      <c r="G24" s="3"/>
      <c r="H24" s="3"/>
      <c r="I24" s="3"/>
      <c r="J24" s="3"/>
      <c r="K24" s="3"/>
      <c r="L24" s="2"/>
    </row>
    <row r="25" spans="1:12" ht="15.75" customHeight="1">
      <c r="A25"/>
      <c r="C25"/>
      <c r="D25"/>
      <c r="E25"/>
      <c r="F25"/>
      <c r="G25"/>
      <c r="H25"/>
      <c r="I25"/>
      <c r="J25"/>
      <c r="K25"/>
      <c r="L25"/>
    </row>
    <row r="26" spans="1:12" ht="15.75" customHeight="1">
      <c r="A26"/>
      <c r="B26" s="671">
        <f>SQRT(D11^2+E11^2+F11^2)</f>
        <v>7.9328431221094994E-2</v>
      </c>
      <c r="C26"/>
      <c r="D26"/>
      <c r="E26"/>
      <c r="F26"/>
      <c r="G26"/>
      <c r="H26"/>
      <c r="I26"/>
      <c r="J26"/>
      <c r="K26"/>
      <c r="L26"/>
    </row>
    <row r="27" spans="1:12" ht="15.75" customHeight="1">
      <c r="A27"/>
      <c r="B27"/>
      <c r="C27"/>
      <c r="D27"/>
      <c r="E27"/>
      <c r="F27"/>
      <c r="G27"/>
      <c r="H27"/>
      <c r="I27"/>
      <c r="J27"/>
      <c r="K27"/>
      <c r="L27"/>
    </row>
    <row r="28" spans="1:12">
      <c r="A28" s="3" t="s">
        <v>7</v>
      </c>
      <c r="B28" s="3" t="s">
        <v>860</v>
      </c>
      <c r="C28" s="3"/>
      <c r="D28" s="3"/>
      <c r="E28" s="3"/>
      <c r="F28" s="3"/>
      <c r="G28" s="3"/>
      <c r="H28" s="3"/>
      <c r="I28" s="3"/>
      <c r="J28" s="3"/>
      <c r="K28" s="3"/>
      <c r="L28" s="2"/>
    </row>
    <row r="29" spans="1:12" ht="15.75" customHeight="1">
      <c r="A29" s="3"/>
      <c r="B29" s="5" t="s">
        <v>64</v>
      </c>
      <c r="C29" s="72"/>
      <c r="D29" s="3"/>
      <c r="E29" s="3"/>
      <c r="F29" s="3"/>
      <c r="G29" s="3"/>
      <c r="H29" s="3"/>
      <c r="I29" s="3"/>
      <c r="J29" s="3"/>
      <c r="K29" s="3"/>
      <c r="L29" s="2"/>
    </row>
    <row r="30" spans="1:12" ht="15.75" customHeight="1">
      <c r="A30"/>
      <c r="C30"/>
      <c r="D30"/>
      <c r="E30"/>
      <c r="F30"/>
      <c r="G30"/>
      <c r="H30"/>
      <c r="I30"/>
      <c r="J30"/>
      <c r="K30"/>
      <c r="L30"/>
    </row>
    <row r="31" spans="1:12" ht="15.75" customHeight="1">
      <c r="A31"/>
      <c r="B31" s="670">
        <f>C11*E16*B26</f>
        <v>801.15369258808266</v>
      </c>
      <c r="C31"/>
      <c r="D31"/>
      <c r="E31"/>
      <c r="F31"/>
      <c r="G31"/>
      <c r="H31"/>
      <c r="I31"/>
      <c r="J31"/>
      <c r="K31"/>
      <c r="L31"/>
    </row>
    <row r="32" spans="1:12" ht="15.75" customHeight="1">
      <c r="A32"/>
      <c r="B32"/>
      <c r="C32"/>
      <c r="D32"/>
      <c r="E32"/>
      <c r="F32"/>
      <c r="G32"/>
      <c r="H32"/>
      <c r="I32"/>
      <c r="J32"/>
      <c r="K32"/>
      <c r="L32"/>
    </row>
    <row r="33" spans="1:12" ht="15.75" customHeight="1">
      <c r="A33"/>
      <c r="B33"/>
      <c r="C33"/>
      <c r="D33"/>
      <c r="E33"/>
      <c r="F33"/>
      <c r="G33"/>
      <c r="H33"/>
      <c r="I33"/>
      <c r="J33"/>
      <c r="K33"/>
      <c r="L33"/>
    </row>
    <row r="34" spans="1:12" ht="15.75" customHeight="1">
      <c r="A34"/>
      <c r="B34"/>
      <c r="C34"/>
      <c r="D34"/>
      <c r="E34"/>
      <c r="F34"/>
      <c r="G34"/>
      <c r="H34"/>
      <c r="I34"/>
      <c r="J34"/>
      <c r="K34"/>
      <c r="L34"/>
    </row>
    <row r="35" spans="1:12" ht="15.75" customHeight="1">
      <c r="A35"/>
      <c r="B35"/>
      <c r="C35"/>
      <c r="D35"/>
      <c r="E35"/>
      <c r="F35"/>
      <c r="G35"/>
      <c r="H35"/>
      <c r="I35"/>
      <c r="J35"/>
      <c r="K35"/>
      <c r="L35"/>
    </row>
    <row r="36" spans="1:12" ht="15.75" customHeight="1">
      <c r="A36"/>
      <c r="B36"/>
      <c r="C36"/>
      <c r="D36"/>
      <c r="E36"/>
      <c r="F36"/>
      <c r="G36"/>
      <c r="H36"/>
      <c r="I36"/>
      <c r="J36"/>
      <c r="K36"/>
      <c r="L36"/>
    </row>
    <row r="37" spans="1:12" ht="15.75" customHeight="1">
      <c r="A37"/>
      <c r="B37"/>
      <c r="C37"/>
      <c r="D37"/>
      <c r="E37"/>
      <c r="F37"/>
      <c r="G37"/>
      <c r="H37"/>
      <c r="I37"/>
      <c r="J37"/>
      <c r="K37"/>
      <c r="L37"/>
    </row>
    <row r="38" spans="1:12" ht="15.75" customHeight="1">
      <c r="A38"/>
      <c r="B38"/>
      <c r="C38"/>
      <c r="D38"/>
      <c r="E38"/>
      <c r="F38"/>
      <c r="G38"/>
      <c r="H38"/>
      <c r="I38"/>
      <c r="J38"/>
      <c r="K38"/>
      <c r="L38"/>
    </row>
    <row r="39" spans="1:12" ht="15.75" customHeight="1">
      <c r="A39"/>
      <c r="B39"/>
      <c r="C39"/>
      <c r="D39"/>
      <c r="E39"/>
      <c r="F39"/>
      <c r="G39"/>
      <c r="H39"/>
      <c r="I39"/>
      <c r="J39"/>
      <c r="K39"/>
      <c r="L39"/>
    </row>
    <row r="40" spans="1:12" ht="15.75" customHeight="1">
      <c r="A40"/>
      <c r="B40"/>
      <c r="C40"/>
      <c r="D40"/>
      <c r="E40"/>
      <c r="F40"/>
      <c r="G40"/>
      <c r="H40"/>
      <c r="I40"/>
      <c r="J40"/>
      <c r="K40"/>
      <c r="L40"/>
    </row>
    <row r="41" spans="1:12" ht="15.75" customHeight="1">
      <c r="A41"/>
      <c r="B41"/>
      <c r="C41"/>
      <c r="D41"/>
      <c r="E41"/>
      <c r="F41"/>
      <c r="G41"/>
      <c r="H41"/>
      <c r="I41"/>
      <c r="J41"/>
      <c r="K41"/>
      <c r="L41"/>
    </row>
    <row r="42" spans="1:12" ht="15.75" customHeight="1">
      <c r="A42"/>
      <c r="B42"/>
      <c r="C42"/>
      <c r="D42"/>
      <c r="E42"/>
      <c r="F42"/>
      <c r="G42"/>
      <c r="H42"/>
      <c r="I42"/>
      <c r="J42"/>
      <c r="K42"/>
      <c r="L42"/>
    </row>
    <row r="43" spans="1:12" ht="15.75" customHeight="1">
      <c r="A43"/>
      <c r="B43"/>
      <c r="C43"/>
      <c r="D43"/>
      <c r="E43"/>
      <c r="F43"/>
      <c r="G43"/>
      <c r="H43"/>
      <c r="I43"/>
      <c r="J43"/>
      <c r="K43"/>
      <c r="L43"/>
    </row>
    <row r="44" spans="1:12" ht="15.75" customHeight="1">
      <c r="A44"/>
      <c r="B44"/>
      <c r="C44"/>
      <c r="D44"/>
      <c r="E44"/>
      <c r="F44"/>
      <c r="G44"/>
      <c r="H44"/>
      <c r="I44"/>
      <c r="J44"/>
      <c r="K44"/>
      <c r="L44"/>
    </row>
    <row r="45" spans="1:12" ht="15.75" customHeight="1">
      <c r="A45"/>
      <c r="B45"/>
      <c r="C45"/>
      <c r="D45"/>
      <c r="E45"/>
      <c r="F45"/>
      <c r="G45"/>
      <c r="H45"/>
      <c r="I45"/>
      <c r="J45"/>
      <c r="K45"/>
      <c r="L45"/>
    </row>
    <row r="46" spans="1:12" ht="15.75" customHeight="1">
      <c r="A46"/>
      <c r="B46"/>
      <c r="C46"/>
      <c r="D46"/>
      <c r="E46"/>
      <c r="F46"/>
      <c r="G46"/>
      <c r="H46"/>
      <c r="I46"/>
      <c r="J46"/>
      <c r="K46"/>
      <c r="L46"/>
    </row>
    <row r="47" spans="1:12" ht="15.75" customHeight="1">
      <c r="A47"/>
      <c r="B47"/>
      <c r="C47"/>
      <c r="D47"/>
      <c r="E47"/>
      <c r="F47"/>
      <c r="G47"/>
      <c r="H47"/>
      <c r="I47"/>
      <c r="J47"/>
      <c r="K47"/>
      <c r="L47"/>
    </row>
    <row r="48" spans="1:12">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c r="J149"/>
      <c r="K149"/>
      <c r="L149"/>
    </row>
    <row r="150" spans="1:12">
      <c r="A150"/>
      <c r="B150"/>
      <c r="C150"/>
      <c r="D150"/>
      <c r="E150"/>
      <c r="F150"/>
      <c r="G150"/>
      <c r="H150"/>
      <c r="I150"/>
      <c r="J150"/>
      <c r="K150"/>
      <c r="L150"/>
    </row>
    <row r="151" spans="1:12">
      <c r="A151"/>
      <c r="B151"/>
      <c r="C151"/>
      <c r="D151"/>
      <c r="E151"/>
      <c r="F151"/>
      <c r="G151"/>
      <c r="H151"/>
      <c r="I151"/>
      <c r="J151"/>
      <c r="K151"/>
      <c r="L151"/>
    </row>
    <row r="152" spans="1:12">
      <c r="A152"/>
      <c r="B152"/>
      <c r="C152"/>
      <c r="D152"/>
      <c r="E152"/>
      <c r="F152"/>
      <c r="G152"/>
      <c r="H152"/>
      <c r="I152"/>
      <c r="J152"/>
      <c r="K152"/>
      <c r="L152"/>
    </row>
    <row r="153" spans="1:12">
      <c r="A153"/>
      <c r="B153"/>
      <c r="C153"/>
      <c r="D153"/>
      <c r="E153"/>
      <c r="F153"/>
      <c r="G153"/>
      <c r="H153"/>
      <c r="I153"/>
      <c r="J153"/>
      <c r="K153"/>
      <c r="L153"/>
    </row>
    <row r="154" spans="1:12">
      <c r="A154"/>
      <c r="B154"/>
      <c r="C154"/>
      <c r="D154"/>
      <c r="E154"/>
      <c r="F154"/>
      <c r="G154"/>
      <c r="H154"/>
      <c r="I154"/>
      <c r="J154"/>
      <c r="K154"/>
      <c r="L154"/>
    </row>
    <row r="155" spans="1:12">
      <c r="A155"/>
      <c r="B155"/>
      <c r="C155"/>
      <c r="D155"/>
      <c r="E155"/>
      <c r="F155"/>
      <c r="G155"/>
      <c r="H155"/>
      <c r="I155"/>
      <c r="J155"/>
      <c r="K155"/>
      <c r="L155"/>
    </row>
    <row r="156" spans="1:12">
      <c r="A156"/>
      <c r="B156"/>
      <c r="C156"/>
      <c r="D156"/>
      <c r="E156"/>
      <c r="F156"/>
      <c r="G156"/>
      <c r="H156"/>
      <c r="I156"/>
      <c r="J156"/>
      <c r="K156"/>
      <c r="L156"/>
    </row>
    <row r="157" spans="1:12">
      <c r="A157"/>
      <c r="B157"/>
      <c r="C157"/>
      <c r="D157"/>
      <c r="E157"/>
      <c r="F157"/>
      <c r="G157"/>
      <c r="H157"/>
      <c r="I157"/>
      <c r="J157"/>
      <c r="K157"/>
      <c r="L157"/>
    </row>
    <row r="158" spans="1:12">
      <c r="A158"/>
      <c r="B158"/>
      <c r="C158"/>
      <c r="D158"/>
      <c r="E158"/>
      <c r="F158"/>
      <c r="G158"/>
      <c r="H158"/>
      <c r="I158"/>
      <c r="J158"/>
      <c r="K158"/>
      <c r="L158"/>
    </row>
    <row r="159" spans="1:12">
      <c r="A159"/>
      <c r="B159"/>
      <c r="C159"/>
      <c r="D159"/>
      <c r="E159"/>
      <c r="F159"/>
      <c r="G159"/>
      <c r="H159"/>
      <c r="I159"/>
      <c r="J159"/>
      <c r="K159"/>
      <c r="L159"/>
    </row>
    <row r="160" spans="1:12">
      <c r="A160"/>
      <c r="B160"/>
      <c r="C160"/>
      <c r="D160"/>
      <c r="E160"/>
      <c r="F160"/>
      <c r="G160"/>
      <c r="H160"/>
      <c r="I160"/>
      <c r="J160"/>
      <c r="K160"/>
      <c r="L160"/>
    </row>
    <row r="161" spans="1:12">
      <c r="A161"/>
      <c r="B161"/>
      <c r="C161"/>
      <c r="D161"/>
      <c r="E161"/>
      <c r="F161"/>
      <c r="G161"/>
      <c r="H161"/>
      <c r="I161"/>
      <c r="J161"/>
      <c r="K161"/>
      <c r="L161"/>
    </row>
    <row r="162" spans="1:12">
      <c r="A162"/>
      <c r="B162"/>
      <c r="C162"/>
      <c r="D162"/>
      <c r="E162"/>
      <c r="F162"/>
      <c r="G162"/>
      <c r="H162"/>
      <c r="I162"/>
      <c r="J162"/>
      <c r="K162"/>
      <c r="L162"/>
    </row>
    <row r="163" spans="1:12">
      <c r="A163"/>
      <c r="B163"/>
      <c r="C163"/>
      <c r="D163"/>
      <c r="E163"/>
      <c r="F163"/>
      <c r="G163"/>
      <c r="H163"/>
      <c r="I163"/>
      <c r="J163"/>
      <c r="K163"/>
      <c r="L163"/>
    </row>
    <row r="164" spans="1:12">
      <c r="A164"/>
      <c r="B164"/>
      <c r="C164"/>
      <c r="D164"/>
      <c r="E164"/>
      <c r="F164"/>
      <c r="G164"/>
      <c r="H164"/>
      <c r="I164"/>
      <c r="J164"/>
      <c r="K164"/>
      <c r="L164"/>
    </row>
    <row r="165" spans="1:12">
      <c r="A165"/>
      <c r="B165"/>
      <c r="C165"/>
      <c r="D165"/>
      <c r="E165"/>
      <c r="F165"/>
      <c r="G165"/>
      <c r="H165"/>
      <c r="I165"/>
      <c r="J165"/>
      <c r="K165"/>
      <c r="L165"/>
    </row>
    <row r="166" spans="1:12">
      <c r="A166"/>
      <c r="B166"/>
      <c r="C166"/>
      <c r="D166"/>
      <c r="E166"/>
      <c r="F166"/>
      <c r="G166"/>
      <c r="H166"/>
      <c r="I166"/>
      <c r="J166"/>
      <c r="K166"/>
      <c r="L166"/>
    </row>
    <row r="167" spans="1:12">
      <c r="A167"/>
      <c r="B167"/>
      <c r="C167"/>
      <c r="D167"/>
      <c r="E167"/>
      <c r="F167"/>
      <c r="G167"/>
      <c r="H167"/>
      <c r="I167"/>
      <c r="J167"/>
      <c r="K167"/>
      <c r="L167"/>
    </row>
    <row r="168" spans="1:12">
      <c r="A168"/>
      <c r="B168"/>
      <c r="C168"/>
      <c r="D168"/>
      <c r="E168"/>
      <c r="F168"/>
      <c r="G168"/>
      <c r="H168"/>
      <c r="I168"/>
      <c r="J168"/>
      <c r="K168"/>
      <c r="L168"/>
    </row>
    <row r="169" spans="1:12">
      <c r="A169"/>
      <c r="B169"/>
      <c r="C169"/>
      <c r="D169"/>
      <c r="E169"/>
      <c r="F169"/>
      <c r="G169"/>
      <c r="H169"/>
      <c r="I169"/>
      <c r="J169"/>
      <c r="K169"/>
      <c r="L169"/>
    </row>
    <row r="170" spans="1:12">
      <c r="A170"/>
      <c r="B170"/>
      <c r="C170"/>
      <c r="D170"/>
      <c r="E170"/>
      <c r="F170"/>
      <c r="G170"/>
      <c r="H170"/>
      <c r="I170"/>
      <c r="J170"/>
      <c r="K170"/>
      <c r="L170"/>
    </row>
    <row r="171" spans="1:12">
      <c r="A171"/>
      <c r="B171"/>
      <c r="C171"/>
      <c r="D171"/>
      <c r="E171"/>
      <c r="F171"/>
      <c r="G171"/>
      <c r="H171"/>
      <c r="I171"/>
      <c r="J171"/>
      <c r="K171"/>
      <c r="L171"/>
    </row>
    <row r="172" spans="1:12">
      <c r="A172"/>
      <c r="B172"/>
      <c r="C172"/>
      <c r="D172"/>
      <c r="E172"/>
      <c r="F172"/>
      <c r="G172"/>
      <c r="H172"/>
      <c r="I172"/>
      <c r="J172"/>
      <c r="K172"/>
      <c r="L172"/>
    </row>
    <row r="173" spans="1:12">
      <c r="A173"/>
      <c r="B173"/>
      <c r="C173"/>
      <c r="D173"/>
      <c r="E173"/>
      <c r="F173"/>
      <c r="G173"/>
      <c r="H173"/>
      <c r="I173"/>
      <c r="J173"/>
      <c r="K173"/>
      <c r="L173"/>
    </row>
    <row r="174" spans="1:12">
      <c r="A174"/>
      <c r="B174"/>
      <c r="C174"/>
      <c r="D174"/>
      <c r="E174"/>
      <c r="F174"/>
      <c r="G174"/>
      <c r="H174"/>
      <c r="I174"/>
      <c r="J174"/>
      <c r="K174"/>
      <c r="L174"/>
    </row>
    <row r="175" spans="1:12">
      <c r="A175"/>
      <c r="B175"/>
      <c r="C175"/>
      <c r="D175"/>
      <c r="E175"/>
      <c r="F175"/>
      <c r="G175"/>
      <c r="H175"/>
      <c r="I175"/>
      <c r="J175"/>
      <c r="K175"/>
      <c r="L175"/>
    </row>
    <row r="176" spans="1:12">
      <c r="A176"/>
      <c r="B176"/>
      <c r="C176"/>
      <c r="D176"/>
      <c r="E176"/>
      <c r="F176"/>
      <c r="G176"/>
      <c r="H176"/>
      <c r="I176"/>
      <c r="J176"/>
      <c r="K176"/>
      <c r="L176"/>
    </row>
    <row r="177" spans="1:12">
      <c r="A177"/>
      <c r="B177"/>
      <c r="C177"/>
      <c r="D177"/>
      <c r="E177"/>
      <c r="F177"/>
      <c r="G177"/>
      <c r="H177"/>
      <c r="I177"/>
      <c r="J177"/>
      <c r="K177"/>
      <c r="L177"/>
    </row>
    <row r="178" spans="1:12">
      <c r="A178"/>
      <c r="B178"/>
      <c r="C178"/>
      <c r="D178"/>
      <c r="E178"/>
      <c r="F178"/>
      <c r="G178"/>
      <c r="H178"/>
      <c r="I178"/>
      <c r="J178"/>
      <c r="K178"/>
      <c r="L178"/>
    </row>
    <row r="179" spans="1:12">
      <c r="A179"/>
      <c r="B179"/>
      <c r="C179"/>
      <c r="D179"/>
      <c r="E179"/>
      <c r="F179"/>
      <c r="G179"/>
      <c r="H179"/>
      <c r="I179"/>
      <c r="J179"/>
      <c r="K179"/>
      <c r="L179"/>
    </row>
    <row r="180" spans="1:12">
      <c r="A180"/>
      <c r="B180"/>
      <c r="C180"/>
      <c r="D180"/>
      <c r="E180"/>
      <c r="F180"/>
      <c r="G180"/>
      <c r="H180"/>
      <c r="I180"/>
      <c r="J180"/>
      <c r="K180"/>
      <c r="L180"/>
    </row>
    <row r="181" spans="1:12">
      <c r="A181"/>
      <c r="B181"/>
      <c r="C181"/>
      <c r="D181"/>
      <c r="E181"/>
      <c r="F181"/>
      <c r="G181"/>
      <c r="H181"/>
      <c r="I181"/>
      <c r="J181"/>
      <c r="K181"/>
      <c r="L181"/>
    </row>
    <row r="182" spans="1:12">
      <c r="A182"/>
      <c r="B182"/>
      <c r="C182"/>
      <c r="D182"/>
      <c r="E182"/>
      <c r="F182"/>
      <c r="G182"/>
      <c r="H182"/>
      <c r="I182"/>
      <c r="J182"/>
      <c r="K182"/>
      <c r="L182"/>
    </row>
    <row r="183" spans="1:12">
      <c r="A183"/>
      <c r="B183"/>
      <c r="C183"/>
      <c r="D183"/>
      <c r="E183"/>
      <c r="F183"/>
      <c r="G183"/>
      <c r="H183"/>
      <c r="I183"/>
      <c r="J183"/>
      <c r="K183"/>
      <c r="L183"/>
    </row>
    <row r="184" spans="1:12">
      <c r="A184"/>
      <c r="B184"/>
      <c r="C184"/>
      <c r="D184"/>
      <c r="E184"/>
      <c r="F184"/>
      <c r="G184"/>
      <c r="H184"/>
      <c r="I184"/>
      <c r="J184"/>
      <c r="K184"/>
      <c r="L184"/>
    </row>
    <row r="185" spans="1:12">
      <c r="A185"/>
      <c r="B185"/>
      <c r="C185"/>
      <c r="D185"/>
      <c r="E185"/>
      <c r="F185"/>
      <c r="G185"/>
      <c r="H185"/>
      <c r="I185"/>
      <c r="J185"/>
      <c r="K185"/>
      <c r="L185"/>
    </row>
    <row r="186" spans="1:12">
      <c r="A186"/>
      <c r="B186"/>
      <c r="C186"/>
      <c r="D186"/>
      <c r="E186"/>
      <c r="F186"/>
      <c r="G186"/>
      <c r="H186"/>
      <c r="I186"/>
      <c r="J186"/>
      <c r="K186"/>
      <c r="L186"/>
    </row>
    <row r="187" spans="1:12">
      <c r="A187"/>
      <c r="B187"/>
      <c r="C187"/>
      <c r="D187"/>
      <c r="E187"/>
      <c r="F187"/>
      <c r="G187"/>
      <c r="H187"/>
      <c r="I187"/>
      <c r="J187"/>
      <c r="K187"/>
      <c r="L187"/>
    </row>
    <row r="188" spans="1:12">
      <c r="A188"/>
      <c r="B188"/>
      <c r="C188"/>
      <c r="D188"/>
      <c r="E188"/>
      <c r="F188"/>
      <c r="G188"/>
      <c r="H188"/>
      <c r="I188"/>
      <c r="J188"/>
      <c r="K188"/>
      <c r="L188"/>
    </row>
    <row r="189" spans="1:12">
      <c r="A189"/>
      <c r="B189"/>
      <c r="C189"/>
      <c r="D189"/>
      <c r="E189"/>
      <c r="F189"/>
      <c r="G189"/>
      <c r="H189"/>
      <c r="I189"/>
      <c r="J189"/>
      <c r="K189"/>
      <c r="L189"/>
    </row>
    <row r="190" spans="1:12">
      <c r="A190"/>
      <c r="B190"/>
      <c r="C190"/>
      <c r="D190"/>
      <c r="E190"/>
      <c r="F190"/>
      <c r="G190"/>
      <c r="H190"/>
      <c r="I190"/>
      <c r="J190"/>
      <c r="K190"/>
      <c r="L190"/>
    </row>
    <row r="191" spans="1:12">
      <c r="A191"/>
      <c r="B191"/>
      <c r="C191"/>
      <c r="D191"/>
      <c r="E191"/>
      <c r="F191"/>
      <c r="G191"/>
      <c r="H191"/>
      <c r="I191"/>
      <c r="J191"/>
      <c r="K191"/>
      <c r="L191"/>
    </row>
    <row r="192" spans="1:12">
      <c r="A192"/>
      <c r="B192"/>
      <c r="C192"/>
      <c r="D192"/>
      <c r="E192"/>
      <c r="F192"/>
      <c r="G192"/>
      <c r="H192"/>
      <c r="I192"/>
      <c r="J192"/>
      <c r="K192"/>
      <c r="L192"/>
    </row>
    <row r="193" spans="1:12">
      <c r="A193"/>
      <c r="B193"/>
      <c r="C193"/>
      <c r="D193"/>
      <c r="E193"/>
      <c r="F193"/>
      <c r="G193"/>
      <c r="H193"/>
      <c r="I193"/>
      <c r="J193"/>
      <c r="K193"/>
      <c r="L193"/>
    </row>
    <row r="194" spans="1:12">
      <c r="A194"/>
      <c r="B194"/>
      <c r="C194"/>
      <c r="D194"/>
      <c r="E194"/>
      <c r="F194"/>
      <c r="G194"/>
      <c r="H194"/>
      <c r="I194"/>
      <c r="J194"/>
      <c r="K194"/>
      <c r="L194"/>
    </row>
    <row r="195" spans="1:12">
      <c r="A195"/>
      <c r="B195"/>
      <c r="C195"/>
      <c r="D195"/>
      <c r="E195"/>
      <c r="F195"/>
      <c r="G195"/>
      <c r="H195"/>
      <c r="I195"/>
      <c r="J195"/>
      <c r="K195"/>
      <c r="L195"/>
    </row>
    <row r="196" spans="1:12">
      <c r="A196"/>
      <c r="B196"/>
      <c r="C196"/>
      <c r="D196"/>
      <c r="E196"/>
      <c r="F196"/>
      <c r="G196"/>
      <c r="H196"/>
      <c r="I196"/>
      <c r="J196"/>
      <c r="K196"/>
      <c r="L196"/>
    </row>
    <row r="197" spans="1:12">
      <c r="A197"/>
      <c r="B197"/>
      <c r="C197"/>
      <c r="D197"/>
      <c r="E197"/>
      <c r="F197"/>
      <c r="G197"/>
      <c r="H197"/>
      <c r="I197"/>
      <c r="J197"/>
      <c r="K197"/>
      <c r="L197"/>
    </row>
    <row r="198" spans="1:12">
      <c r="A198"/>
      <c r="B198"/>
      <c r="C198"/>
      <c r="D198"/>
      <c r="E198"/>
      <c r="F198"/>
      <c r="G198"/>
      <c r="H198"/>
      <c r="I198"/>
      <c r="J198"/>
      <c r="K198"/>
      <c r="L198"/>
    </row>
    <row r="199" spans="1:12">
      <c r="A199"/>
      <c r="B199"/>
      <c r="C199"/>
      <c r="D199"/>
      <c r="E199"/>
      <c r="F199"/>
      <c r="G199"/>
      <c r="H199"/>
      <c r="I199"/>
      <c r="J199"/>
      <c r="K199"/>
      <c r="L199"/>
    </row>
    <row r="200" spans="1:12">
      <c r="A200"/>
      <c r="B200"/>
      <c r="C200"/>
      <c r="D200"/>
      <c r="E200"/>
      <c r="F200"/>
      <c r="G200"/>
      <c r="H200"/>
      <c r="I200"/>
      <c r="J200"/>
      <c r="K200"/>
      <c r="L200"/>
    </row>
    <row r="201" spans="1:12">
      <c r="A201"/>
      <c r="B201"/>
      <c r="C201"/>
      <c r="D201"/>
      <c r="E201"/>
      <c r="F201"/>
      <c r="G201"/>
      <c r="H201"/>
      <c r="I201"/>
      <c r="J201"/>
      <c r="K201"/>
      <c r="L201"/>
    </row>
    <row r="202" spans="1:12">
      <c r="A202"/>
      <c r="B202"/>
      <c r="C202"/>
      <c r="D202"/>
      <c r="E202"/>
      <c r="F202"/>
      <c r="G202"/>
      <c r="H202"/>
      <c r="I202"/>
      <c r="J202"/>
      <c r="K202"/>
      <c r="L202"/>
    </row>
    <row r="203" spans="1:12">
      <c r="A203"/>
      <c r="B203"/>
      <c r="C203"/>
      <c r="D203"/>
      <c r="E203"/>
      <c r="F203"/>
      <c r="G203"/>
      <c r="H203"/>
      <c r="I203"/>
      <c r="J203"/>
      <c r="K203"/>
      <c r="L203"/>
    </row>
    <row r="204" spans="1:12">
      <c r="A204"/>
      <c r="B204"/>
      <c r="C204"/>
      <c r="D204"/>
      <c r="E204"/>
      <c r="F204"/>
      <c r="G204"/>
      <c r="H204"/>
      <c r="I204"/>
      <c r="J204"/>
      <c r="K204"/>
      <c r="L204"/>
    </row>
    <row r="205" spans="1:12">
      <c r="A205"/>
      <c r="B205"/>
      <c r="C205"/>
      <c r="D205"/>
      <c r="E205"/>
      <c r="F205"/>
      <c r="G205"/>
      <c r="H205"/>
      <c r="I205"/>
      <c r="J205"/>
      <c r="K205"/>
      <c r="L205"/>
    </row>
    <row r="206" spans="1:12">
      <c r="A206"/>
      <c r="B206"/>
      <c r="C206"/>
      <c r="D206"/>
      <c r="E206"/>
      <c r="F206"/>
      <c r="G206"/>
      <c r="H206"/>
      <c r="I206"/>
      <c r="J206"/>
      <c r="K206"/>
      <c r="L206"/>
    </row>
    <row r="207" spans="1:12">
      <c r="A207"/>
      <c r="B207"/>
      <c r="C207"/>
      <c r="D207"/>
      <c r="E207"/>
      <c r="F207"/>
      <c r="G207"/>
      <c r="H207"/>
      <c r="I207"/>
      <c r="J207"/>
      <c r="K207"/>
      <c r="L207"/>
    </row>
    <row r="208" spans="1:12">
      <c r="A208"/>
      <c r="B208"/>
      <c r="C208"/>
      <c r="D208"/>
      <c r="E208"/>
      <c r="F208"/>
      <c r="G208"/>
      <c r="H208"/>
      <c r="I208"/>
      <c r="J208"/>
      <c r="K208"/>
      <c r="L208"/>
    </row>
    <row r="209" spans="1:12">
      <c r="A209"/>
      <c r="B209"/>
      <c r="C209"/>
      <c r="D209"/>
      <c r="E209"/>
      <c r="F209"/>
      <c r="G209"/>
      <c r="H209"/>
      <c r="I209"/>
      <c r="J209"/>
      <c r="K209"/>
      <c r="L209"/>
    </row>
    <row r="210" spans="1:12">
      <c r="A210"/>
      <c r="B210"/>
      <c r="C210"/>
      <c r="D210"/>
      <c r="E210"/>
      <c r="F210"/>
      <c r="G210"/>
      <c r="H210"/>
      <c r="I210"/>
      <c r="J210"/>
      <c r="K210"/>
      <c r="L210"/>
    </row>
    <row r="211" spans="1:12">
      <c r="A211"/>
      <c r="B211"/>
      <c r="C211"/>
      <c r="D211"/>
      <c r="E211"/>
      <c r="F211"/>
      <c r="G211"/>
      <c r="H211"/>
      <c r="I211"/>
      <c r="J211"/>
      <c r="K211"/>
      <c r="L211"/>
    </row>
    <row r="212" spans="1:12">
      <c r="A212"/>
      <c r="B212"/>
      <c r="C212"/>
      <c r="D212"/>
      <c r="E212"/>
      <c r="F212"/>
      <c r="G212"/>
      <c r="H212"/>
      <c r="I212"/>
      <c r="J212"/>
      <c r="K212"/>
      <c r="L212"/>
    </row>
    <row r="213" spans="1:12">
      <c r="A213"/>
      <c r="B213"/>
      <c r="C213"/>
      <c r="D213"/>
      <c r="E213"/>
      <c r="F213"/>
      <c r="G213"/>
      <c r="H213"/>
      <c r="I213"/>
      <c r="J213"/>
      <c r="K213"/>
      <c r="L213"/>
    </row>
    <row r="214" spans="1:12">
      <c r="A214"/>
      <c r="B214"/>
      <c r="C214"/>
      <c r="D214"/>
      <c r="E214"/>
      <c r="F214"/>
      <c r="G214"/>
      <c r="H214"/>
      <c r="I214"/>
      <c r="J214"/>
      <c r="K214"/>
      <c r="L214"/>
    </row>
    <row r="215" spans="1:12">
      <c r="A215"/>
      <c r="B215"/>
      <c r="C215"/>
      <c r="D215"/>
      <c r="E215"/>
      <c r="F215"/>
      <c r="G215"/>
      <c r="H215"/>
      <c r="I215"/>
      <c r="J215"/>
      <c r="K215"/>
      <c r="L215"/>
    </row>
    <row r="216" spans="1:12">
      <c r="A216"/>
      <c r="B216"/>
      <c r="C216"/>
      <c r="D216"/>
      <c r="E216"/>
      <c r="F216"/>
      <c r="G216"/>
      <c r="H216"/>
      <c r="I216"/>
      <c r="J216"/>
      <c r="K216"/>
      <c r="L216"/>
    </row>
    <row r="217" spans="1:12">
      <c r="A217"/>
      <c r="B217"/>
      <c r="C217"/>
      <c r="D217"/>
      <c r="E217"/>
      <c r="F217"/>
      <c r="G217"/>
      <c r="H217"/>
      <c r="I217"/>
      <c r="J217"/>
      <c r="K217"/>
      <c r="L217"/>
    </row>
    <row r="218" spans="1:12">
      <c r="A218"/>
      <c r="B218"/>
      <c r="C218"/>
      <c r="D218"/>
      <c r="E218"/>
      <c r="F218"/>
      <c r="G218"/>
      <c r="H218"/>
      <c r="I218"/>
      <c r="J218"/>
      <c r="K218"/>
      <c r="L218"/>
    </row>
    <row r="219" spans="1:12">
      <c r="A219"/>
      <c r="B219"/>
      <c r="C219"/>
      <c r="D219"/>
      <c r="E219"/>
      <c r="F219"/>
      <c r="G219"/>
      <c r="H219"/>
      <c r="I219"/>
      <c r="J219"/>
      <c r="K219"/>
      <c r="L219"/>
    </row>
    <row r="220" spans="1:12">
      <c r="A220"/>
      <c r="B220"/>
      <c r="C220"/>
      <c r="D220"/>
      <c r="E220"/>
      <c r="F220"/>
      <c r="G220"/>
      <c r="H220"/>
      <c r="I220"/>
      <c r="J220"/>
      <c r="K220"/>
      <c r="L220"/>
    </row>
    <row r="221" spans="1:12">
      <c r="A221"/>
      <c r="B221"/>
      <c r="C221"/>
      <c r="D221"/>
      <c r="E221"/>
      <c r="F221"/>
      <c r="G221"/>
      <c r="H221"/>
      <c r="I221"/>
      <c r="J221"/>
      <c r="K221"/>
      <c r="L221"/>
    </row>
    <row r="222" spans="1:12">
      <c r="A222"/>
      <c r="B222"/>
      <c r="C222"/>
      <c r="D222"/>
      <c r="E222"/>
      <c r="F222"/>
      <c r="G222"/>
      <c r="H222"/>
      <c r="I222"/>
      <c r="J222"/>
      <c r="K222"/>
      <c r="L222"/>
    </row>
    <row r="223" spans="1:12">
      <c r="A223"/>
      <c r="B223"/>
      <c r="C223"/>
      <c r="D223"/>
      <c r="E223"/>
      <c r="F223"/>
      <c r="G223"/>
      <c r="H223"/>
      <c r="I223"/>
      <c r="J223"/>
      <c r="K223"/>
      <c r="L223"/>
    </row>
    <row r="224" spans="1:12">
      <c r="A224"/>
      <c r="B224"/>
      <c r="C224"/>
      <c r="D224"/>
      <c r="E224"/>
      <c r="F224"/>
      <c r="G224"/>
      <c r="H224"/>
      <c r="I224"/>
      <c r="J224"/>
      <c r="K224"/>
      <c r="L224"/>
    </row>
    <row r="225" spans="1:12">
      <c r="A225"/>
      <c r="B225"/>
      <c r="C225"/>
      <c r="D225"/>
      <c r="E225"/>
      <c r="F225"/>
      <c r="G225"/>
      <c r="H225"/>
      <c r="I225"/>
      <c r="J225"/>
      <c r="K225"/>
      <c r="L225"/>
    </row>
    <row r="226" spans="1:12">
      <c r="A226"/>
      <c r="B226"/>
      <c r="C226"/>
      <c r="D226"/>
      <c r="E226"/>
      <c r="F226"/>
      <c r="G226"/>
      <c r="H226"/>
      <c r="I226"/>
      <c r="J226"/>
      <c r="K226"/>
      <c r="L226"/>
    </row>
    <row r="227" spans="1:12">
      <c r="A227"/>
      <c r="B227"/>
      <c r="C227"/>
      <c r="D227"/>
      <c r="E227"/>
      <c r="F227"/>
      <c r="G227"/>
      <c r="H227"/>
      <c r="I227"/>
      <c r="J227"/>
      <c r="K227"/>
      <c r="L227"/>
    </row>
    <row r="228" spans="1:12">
      <c r="A228"/>
      <c r="B228"/>
      <c r="C228"/>
      <c r="D228"/>
      <c r="E228"/>
      <c r="F228"/>
      <c r="G228"/>
      <c r="H228"/>
      <c r="I228"/>
      <c r="J228"/>
      <c r="K228"/>
      <c r="L228"/>
    </row>
    <row r="229" spans="1:12">
      <c r="A229"/>
      <c r="B229"/>
      <c r="C229"/>
      <c r="D229"/>
      <c r="E229"/>
      <c r="F229"/>
      <c r="G229"/>
      <c r="H229"/>
      <c r="I229"/>
      <c r="J229"/>
      <c r="K229"/>
      <c r="L229"/>
    </row>
    <row r="230" spans="1:12">
      <c r="A230"/>
      <c r="B230"/>
      <c r="C230"/>
      <c r="D230"/>
      <c r="E230"/>
      <c r="F230"/>
      <c r="G230"/>
      <c r="H230"/>
      <c r="I230"/>
      <c r="J230"/>
      <c r="K230"/>
      <c r="L230"/>
    </row>
    <row r="231" spans="1:12">
      <c r="A231"/>
      <c r="B231"/>
      <c r="C231"/>
      <c r="D231"/>
      <c r="E231"/>
      <c r="F231"/>
      <c r="G231"/>
      <c r="H231"/>
      <c r="I231"/>
      <c r="J231"/>
      <c r="K231"/>
      <c r="L231"/>
    </row>
    <row r="232" spans="1:12">
      <c r="A232"/>
      <c r="B232"/>
      <c r="C232"/>
      <c r="D232"/>
      <c r="E232"/>
      <c r="F232"/>
      <c r="G232"/>
      <c r="H232"/>
      <c r="I232"/>
      <c r="J232"/>
      <c r="K232"/>
      <c r="L232"/>
    </row>
    <row r="233" spans="1:12">
      <c r="A233"/>
      <c r="B233"/>
      <c r="C233"/>
      <c r="D233"/>
      <c r="E233"/>
      <c r="F233"/>
      <c r="G233"/>
      <c r="H233"/>
      <c r="I233"/>
      <c r="J233"/>
      <c r="K233"/>
      <c r="L233"/>
    </row>
    <row r="234" spans="1:12">
      <c r="A234"/>
      <c r="B234"/>
      <c r="C234"/>
      <c r="D234"/>
      <c r="E234"/>
      <c r="F234"/>
      <c r="G234"/>
      <c r="H234"/>
      <c r="I234"/>
      <c r="J234"/>
      <c r="K234"/>
      <c r="L234"/>
    </row>
    <row r="235" spans="1:12">
      <c r="A235"/>
      <c r="B235"/>
      <c r="C235"/>
      <c r="D235"/>
      <c r="E235"/>
      <c r="F235"/>
      <c r="G235"/>
      <c r="H235"/>
      <c r="I235"/>
      <c r="J235"/>
      <c r="K235"/>
      <c r="L235"/>
    </row>
    <row r="236" spans="1:12">
      <c r="A236"/>
      <c r="B236"/>
      <c r="C236"/>
      <c r="D236"/>
      <c r="E236"/>
      <c r="F236"/>
      <c r="G236"/>
      <c r="H236"/>
      <c r="I236"/>
      <c r="J236"/>
      <c r="K236"/>
      <c r="L236"/>
    </row>
    <row r="237" spans="1:12">
      <c r="A237"/>
      <c r="B237"/>
      <c r="C237"/>
      <c r="D237"/>
      <c r="E237"/>
      <c r="F237"/>
      <c r="G237"/>
      <c r="H237"/>
      <c r="I237"/>
      <c r="J237"/>
      <c r="K237"/>
      <c r="L237"/>
    </row>
    <row r="238" spans="1:12">
      <c r="A238"/>
      <c r="B238"/>
      <c r="C238"/>
      <c r="D238"/>
      <c r="E238"/>
      <c r="F238"/>
      <c r="G238"/>
      <c r="H238"/>
      <c r="I238"/>
      <c r="J238"/>
      <c r="K238"/>
      <c r="L238"/>
    </row>
    <row r="239" spans="1:12">
      <c r="A239"/>
      <c r="B239"/>
      <c r="C239"/>
      <c r="D239"/>
      <c r="E239"/>
      <c r="F239"/>
      <c r="G239"/>
      <c r="H239"/>
      <c r="I239"/>
      <c r="J239"/>
      <c r="K239"/>
      <c r="L239"/>
    </row>
    <row r="240" spans="1:12">
      <c r="A240"/>
      <c r="B240"/>
      <c r="C240"/>
      <c r="D240"/>
      <c r="E240"/>
      <c r="F240"/>
      <c r="G240"/>
      <c r="H240"/>
      <c r="I240"/>
      <c r="J240"/>
      <c r="K240"/>
      <c r="L240"/>
    </row>
    <row r="241" spans="1:12">
      <c r="A241"/>
      <c r="B241"/>
      <c r="C241"/>
      <c r="D241"/>
      <c r="E241"/>
      <c r="F241"/>
      <c r="G241"/>
      <c r="H241"/>
      <c r="I241"/>
      <c r="J241"/>
      <c r="K241"/>
      <c r="L241"/>
    </row>
    <row r="242" spans="1:12">
      <c r="A242"/>
      <c r="B242"/>
      <c r="C242"/>
      <c r="D242"/>
      <c r="E242"/>
      <c r="F242"/>
      <c r="G242"/>
      <c r="H242"/>
      <c r="I242"/>
      <c r="J242"/>
      <c r="K242"/>
      <c r="L242"/>
    </row>
    <row r="243" spans="1:12">
      <c r="A243"/>
      <c r="B243"/>
      <c r="C243"/>
      <c r="D243"/>
      <c r="E243"/>
      <c r="F243"/>
      <c r="G243"/>
      <c r="H243"/>
      <c r="I243"/>
      <c r="J243"/>
      <c r="K243"/>
      <c r="L243"/>
    </row>
    <row r="244" spans="1:12">
      <c r="A244"/>
      <c r="B244"/>
      <c r="C244"/>
      <c r="D244"/>
      <c r="E244"/>
      <c r="F244"/>
      <c r="G244"/>
      <c r="H244"/>
      <c r="I244"/>
      <c r="J244"/>
      <c r="K244"/>
      <c r="L244"/>
    </row>
    <row r="245" spans="1:12">
      <c r="A245"/>
      <c r="B245"/>
      <c r="C245"/>
      <c r="D245"/>
      <c r="E245"/>
      <c r="F245"/>
      <c r="G245"/>
      <c r="H245"/>
      <c r="I245"/>
      <c r="J245"/>
      <c r="K245"/>
      <c r="L245"/>
    </row>
    <row r="246" spans="1:12">
      <c r="A246"/>
      <c r="B246"/>
      <c r="C246"/>
      <c r="D246"/>
      <c r="E246"/>
      <c r="F246"/>
      <c r="G246"/>
      <c r="H246"/>
      <c r="I246"/>
      <c r="J246"/>
      <c r="K246"/>
      <c r="L246"/>
    </row>
    <row r="247" spans="1:12">
      <c r="A247"/>
      <c r="B247"/>
      <c r="C247"/>
      <c r="D247"/>
      <c r="E247"/>
      <c r="F247"/>
      <c r="G247"/>
      <c r="H247"/>
      <c r="I247"/>
      <c r="J247"/>
      <c r="K247"/>
      <c r="L247"/>
    </row>
    <row r="248" spans="1:12">
      <c r="A248"/>
      <c r="B248"/>
      <c r="C248"/>
      <c r="D248"/>
      <c r="E248"/>
      <c r="F248"/>
      <c r="G248"/>
      <c r="H248"/>
      <c r="I248"/>
      <c r="J248"/>
      <c r="K248"/>
      <c r="L248"/>
    </row>
    <row r="249" spans="1:12">
      <c r="A249"/>
      <c r="B249"/>
      <c r="C249"/>
      <c r="D249"/>
      <c r="E249"/>
      <c r="F249"/>
      <c r="G249"/>
      <c r="H249"/>
      <c r="I249"/>
      <c r="J249"/>
      <c r="K249"/>
      <c r="L249"/>
    </row>
    <row r="250" spans="1:12">
      <c r="A250"/>
      <c r="B250"/>
      <c r="C250"/>
      <c r="D250"/>
      <c r="E250"/>
      <c r="F250"/>
      <c r="G250"/>
      <c r="H250"/>
      <c r="I250"/>
      <c r="J250"/>
      <c r="K250"/>
      <c r="L250"/>
    </row>
    <row r="251" spans="1:12">
      <c r="A251"/>
      <c r="B251"/>
      <c r="C251"/>
      <c r="D251"/>
      <c r="E251"/>
      <c r="F251"/>
      <c r="G251"/>
      <c r="H251"/>
      <c r="I251"/>
      <c r="J251"/>
      <c r="K251"/>
      <c r="L251"/>
    </row>
    <row r="252" spans="1:12">
      <c r="A252"/>
      <c r="B252"/>
      <c r="C252"/>
      <c r="D252"/>
      <c r="E252"/>
      <c r="F252"/>
      <c r="G252"/>
      <c r="H252"/>
      <c r="I252"/>
      <c r="J252"/>
      <c r="K252"/>
      <c r="L252"/>
    </row>
    <row r="253" spans="1:12">
      <c r="A253"/>
      <c r="B253"/>
      <c r="C253"/>
      <c r="D253"/>
      <c r="E253"/>
      <c r="F253"/>
      <c r="G253"/>
      <c r="H253"/>
      <c r="I253"/>
      <c r="J253"/>
      <c r="K253"/>
      <c r="L253"/>
    </row>
    <row r="254" spans="1:12">
      <c r="A254"/>
      <c r="B254"/>
      <c r="C254"/>
      <c r="D254"/>
      <c r="E254"/>
      <c r="F254"/>
      <c r="G254"/>
      <c r="H254"/>
      <c r="I254"/>
      <c r="J254"/>
      <c r="K254"/>
      <c r="L254"/>
    </row>
    <row r="255" spans="1:12">
      <c r="A255"/>
      <c r="B255"/>
      <c r="C255"/>
      <c r="D255"/>
      <c r="E255"/>
      <c r="F255"/>
      <c r="G255"/>
      <c r="H255"/>
      <c r="I255"/>
      <c r="J255"/>
      <c r="K255"/>
      <c r="L255"/>
    </row>
    <row r="256" spans="1:12">
      <c r="A256"/>
      <c r="B256"/>
      <c r="C256"/>
      <c r="D256"/>
      <c r="E256"/>
      <c r="F256"/>
      <c r="G256"/>
      <c r="H256"/>
      <c r="I256"/>
      <c r="J256"/>
      <c r="K256"/>
      <c r="L256"/>
    </row>
    <row r="257" spans="1:12">
      <c r="A257"/>
      <c r="B257"/>
      <c r="C257"/>
      <c r="D257"/>
      <c r="E257"/>
      <c r="F257"/>
      <c r="G257"/>
      <c r="H257"/>
      <c r="I257"/>
      <c r="J257"/>
      <c r="K257"/>
      <c r="L257"/>
    </row>
    <row r="258" spans="1:12">
      <c r="A258"/>
      <c r="B258"/>
      <c r="C258"/>
      <c r="D258"/>
      <c r="E258"/>
      <c r="F258"/>
      <c r="G258"/>
      <c r="H258"/>
      <c r="I258"/>
      <c r="J258"/>
      <c r="K258"/>
      <c r="L258"/>
    </row>
    <row r="259" spans="1:12">
      <c r="A259"/>
      <c r="B259"/>
      <c r="C259"/>
      <c r="D259"/>
      <c r="E259"/>
      <c r="F259"/>
      <c r="G259"/>
      <c r="H259"/>
      <c r="I259"/>
      <c r="J259"/>
      <c r="K259"/>
      <c r="L259"/>
    </row>
    <row r="260" spans="1:12">
      <c r="A260"/>
      <c r="B260"/>
      <c r="C260"/>
      <c r="D260"/>
      <c r="E260"/>
      <c r="F260"/>
      <c r="G260"/>
      <c r="H260"/>
      <c r="I260"/>
      <c r="J260"/>
      <c r="K260"/>
      <c r="L260"/>
    </row>
    <row r="261" spans="1:12">
      <c r="A261"/>
      <c r="B261"/>
      <c r="C261"/>
      <c r="D261"/>
      <c r="E261"/>
      <c r="F261"/>
      <c r="G261"/>
      <c r="H261"/>
      <c r="I261"/>
      <c r="J261"/>
      <c r="K261"/>
      <c r="L261"/>
    </row>
    <row r="262" spans="1:12">
      <c r="A262"/>
      <c r="B262"/>
      <c r="C262"/>
      <c r="D262"/>
      <c r="E262"/>
      <c r="F262"/>
      <c r="G262"/>
      <c r="H262"/>
      <c r="I262"/>
      <c r="J262"/>
      <c r="K262"/>
      <c r="L262"/>
    </row>
    <row r="263" spans="1:12">
      <c r="A263"/>
      <c r="B263"/>
      <c r="C263"/>
      <c r="D263"/>
      <c r="E263"/>
      <c r="F263"/>
      <c r="G263"/>
      <c r="H263"/>
      <c r="I263"/>
      <c r="J263"/>
      <c r="K263"/>
      <c r="L263"/>
    </row>
    <row r="264" spans="1:12">
      <c r="A264"/>
      <c r="B264"/>
      <c r="C264"/>
      <c r="D264"/>
      <c r="E264"/>
      <c r="F264"/>
      <c r="G264"/>
      <c r="H264"/>
      <c r="I264"/>
      <c r="J264"/>
      <c r="K264"/>
      <c r="L264"/>
    </row>
    <row r="265" spans="1:12">
      <c r="A265"/>
      <c r="B265"/>
      <c r="C265"/>
      <c r="D265"/>
      <c r="E265"/>
      <c r="F265"/>
      <c r="G265"/>
      <c r="H265"/>
      <c r="I265"/>
      <c r="J265"/>
      <c r="K265"/>
      <c r="L265"/>
    </row>
    <row r="266" spans="1:12">
      <c r="A266"/>
      <c r="B266"/>
      <c r="C266"/>
      <c r="D266"/>
      <c r="E266"/>
      <c r="F266"/>
      <c r="G266"/>
      <c r="H266"/>
      <c r="I266"/>
      <c r="J266"/>
      <c r="K266"/>
      <c r="L266"/>
    </row>
    <row r="267" spans="1:12">
      <c r="A267"/>
      <c r="B267"/>
      <c r="C267"/>
      <c r="D267"/>
      <c r="E267"/>
      <c r="F267"/>
      <c r="G267"/>
      <c r="H267"/>
      <c r="I267"/>
      <c r="J267"/>
      <c r="K267"/>
      <c r="L267"/>
    </row>
    <row r="268" spans="1:12">
      <c r="A268"/>
      <c r="B268"/>
      <c r="C268"/>
      <c r="D268"/>
      <c r="E268"/>
      <c r="F268"/>
      <c r="G268"/>
      <c r="H268"/>
      <c r="I268"/>
      <c r="J268"/>
      <c r="K268"/>
      <c r="L268"/>
    </row>
    <row r="269" spans="1:12">
      <c r="A269"/>
      <c r="B269"/>
      <c r="C269"/>
      <c r="D269"/>
      <c r="E269"/>
      <c r="F269"/>
      <c r="G269"/>
      <c r="H269"/>
      <c r="I269"/>
      <c r="J269"/>
      <c r="K269"/>
      <c r="L269"/>
    </row>
    <row r="270" spans="1:12">
      <c r="A270"/>
      <c r="B270"/>
      <c r="C270"/>
      <c r="D270"/>
      <c r="E270"/>
      <c r="F270"/>
      <c r="G270"/>
      <c r="H270"/>
      <c r="I270"/>
      <c r="J270"/>
      <c r="K270"/>
      <c r="L270"/>
    </row>
    <row r="271" spans="1:12">
      <c r="A271"/>
      <c r="B271"/>
      <c r="C271"/>
      <c r="D271"/>
      <c r="E271"/>
      <c r="F271"/>
      <c r="G271"/>
      <c r="H271"/>
      <c r="I271"/>
      <c r="J271"/>
      <c r="K271"/>
      <c r="L271"/>
    </row>
    <row r="272" spans="1:12">
      <c r="A272"/>
      <c r="B272"/>
      <c r="C272"/>
      <c r="D272"/>
      <c r="E272"/>
      <c r="F272"/>
      <c r="G272"/>
      <c r="H272"/>
      <c r="I272"/>
      <c r="J272"/>
      <c r="K272"/>
      <c r="L272"/>
    </row>
    <row r="273" spans="1:12">
      <c r="A273"/>
      <c r="B273"/>
      <c r="C273"/>
      <c r="D273"/>
      <c r="E273"/>
      <c r="F273"/>
      <c r="G273"/>
      <c r="H273"/>
      <c r="I273"/>
      <c r="J273"/>
      <c r="K273"/>
      <c r="L273"/>
    </row>
    <row r="274" spans="1:12">
      <c r="A274"/>
      <c r="B274"/>
      <c r="C274"/>
      <c r="D274"/>
      <c r="E274"/>
      <c r="F274"/>
      <c r="G274"/>
      <c r="H274"/>
      <c r="I274"/>
      <c r="J274"/>
      <c r="K274"/>
      <c r="L274"/>
    </row>
    <row r="275" spans="1:12">
      <c r="A275"/>
      <c r="B275"/>
      <c r="C275"/>
      <c r="D275"/>
      <c r="E275"/>
      <c r="F275"/>
      <c r="G275"/>
      <c r="H275"/>
      <c r="I275"/>
      <c r="J275"/>
      <c r="K275"/>
      <c r="L275"/>
    </row>
    <row r="276" spans="1:12">
      <c r="A276"/>
      <c r="B276"/>
      <c r="C276"/>
      <c r="D276"/>
      <c r="E276"/>
      <c r="F276"/>
      <c r="G276"/>
      <c r="H276"/>
      <c r="I276"/>
      <c r="J276"/>
      <c r="K276"/>
      <c r="L276"/>
    </row>
    <row r="277" spans="1:12">
      <c r="A277"/>
      <c r="B277"/>
      <c r="C277"/>
      <c r="D277"/>
      <c r="E277"/>
      <c r="F277"/>
      <c r="G277"/>
      <c r="H277"/>
      <c r="I277"/>
      <c r="J277"/>
      <c r="K277"/>
      <c r="L277"/>
    </row>
    <row r="278" spans="1:12">
      <c r="A278"/>
      <c r="B278"/>
      <c r="C278"/>
      <c r="D278"/>
      <c r="E278"/>
      <c r="F278"/>
      <c r="G278"/>
      <c r="H278"/>
      <c r="I278"/>
      <c r="J278"/>
      <c r="K278"/>
      <c r="L278"/>
    </row>
    <row r="279" spans="1:12">
      <c r="A279"/>
      <c r="B279"/>
      <c r="C279"/>
      <c r="D279"/>
      <c r="E279"/>
      <c r="F279"/>
      <c r="G279"/>
      <c r="H279"/>
      <c r="I279"/>
      <c r="J279"/>
      <c r="K279"/>
      <c r="L279"/>
    </row>
    <row r="280" spans="1:12">
      <c r="A280"/>
      <c r="B280"/>
      <c r="C280"/>
      <c r="D280"/>
      <c r="E280"/>
      <c r="F280"/>
      <c r="G280"/>
      <c r="H280"/>
      <c r="I280"/>
      <c r="J280"/>
      <c r="K280"/>
      <c r="L280"/>
    </row>
    <row r="281" spans="1:12">
      <c r="A281"/>
      <c r="B281"/>
      <c r="C281"/>
      <c r="D281"/>
      <c r="E281"/>
      <c r="F281"/>
      <c r="G281"/>
      <c r="H281"/>
      <c r="I281"/>
      <c r="J281"/>
      <c r="K281"/>
      <c r="L281"/>
    </row>
    <row r="282" spans="1:12">
      <c r="A282"/>
      <c r="B282"/>
      <c r="C282"/>
      <c r="D282"/>
      <c r="E282"/>
      <c r="F282"/>
      <c r="G282"/>
      <c r="H282"/>
      <c r="I282"/>
      <c r="J282"/>
      <c r="K282"/>
      <c r="L282"/>
    </row>
    <row r="283" spans="1:12">
      <c r="A283"/>
      <c r="B283"/>
      <c r="C283"/>
      <c r="D283"/>
      <c r="E283"/>
      <c r="F283"/>
      <c r="G283"/>
      <c r="H283"/>
      <c r="I283"/>
      <c r="J283"/>
      <c r="K283"/>
      <c r="L283"/>
    </row>
    <row r="284" spans="1:12">
      <c r="A284"/>
      <c r="B284"/>
      <c r="C284"/>
      <c r="D284"/>
      <c r="E284"/>
      <c r="F284"/>
      <c r="G284"/>
      <c r="H284"/>
      <c r="I284"/>
      <c r="J284"/>
      <c r="K284"/>
      <c r="L284"/>
    </row>
    <row r="285" spans="1:12">
      <c r="A285"/>
      <c r="B285"/>
      <c r="C285"/>
      <c r="D285"/>
      <c r="E285"/>
      <c r="F285"/>
      <c r="G285"/>
      <c r="H285"/>
      <c r="I285"/>
      <c r="J285"/>
      <c r="K285"/>
      <c r="L285"/>
    </row>
    <row r="286" spans="1:12">
      <c r="A286"/>
      <c r="B286"/>
      <c r="C286"/>
      <c r="D286"/>
      <c r="E286"/>
      <c r="F286"/>
      <c r="G286"/>
      <c r="H286"/>
      <c r="I286"/>
      <c r="J286"/>
      <c r="K286"/>
      <c r="L286"/>
    </row>
    <row r="287" spans="1:12">
      <c r="A287"/>
      <c r="B287"/>
      <c r="C287"/>
      <c r="D287"/>
      <c r="E287"/>
      <c r="F287"/>
      <c r="G287"/>
      <c r="H287"/>
      <c r="I287"/>
      <c r="J287"/>
      <c r="K287"/>
      <c r="L287"/>
    </row>
    <row r="288" spans="1:12">
      <c r="A288"/>
      <c r="B288"/>
      <c r="C288"/>
      <c r="D288"/>
      <c r="E288"/>
      <c r="F288"/>
      <c r="G288"/>
      <c r="H288"/>
      <c r="I288"/>
      <c r="J288"/>
      <c r="K288"/>
      <c r="L288"/>
    </row>
    <row r="289" spans="1:12">
      <c r="A289"/>
      <c r="B289"/>
      <c r="C289"/>
      <c r="D289"/>
      <c r="E289"/>
      <c r="F289"/>
      <c r="G289"/>
      <c r="H289"/>
      <c r="I289"/>
      <c r="J289"/>
      <c r="K289"/>
      <c r="L289"/>
    </row>
    <row r="290" spans="1:12">
      <c r="A290"/>
      <c r="B290"/>
      <c r="C290"/>
      <c r="D290"/>
      <c r="E290"/>
      <c r="F290"/>
      <c r="G290"/>
      <c r="H290"/>
      <c r="I290"/>
      <c r="J290"/>
      <c r="K290"/>
      <c r="L290"/>
    </row>
    <row r="291" spans="1:12">
      <c r="A291"/>
      <c r="B291"/>
      <c r="C291"/>
      <c r="D291"/>
      <c r="E291"/>
      <c r="F291"/>
      <c r="G291"/>
      <c r="H291"/>
      <c r="I291"/>
      <c r="J291"/>
      <c r="K291"/>
      <c r="L291"/>
    </row>
    <row r="292" spans="1:12">
      <c r="A292"/>
      <c r="B292"/>
      <c r="C292"/>
      <c r="D292"/>
      <c r="E292"/>
      <c r="F292"/>
      <c r="G292"/>
      <c r="H292"/>
      <c r="I292"/>
      <c r="J292"/>
      <c r="K292"/>
      <c r="L292"/>
    </row>
    <row r="293" spans="1:12">
      <c r="A293"/>
      <c r="B293"/>
      <c r="C293"/>
      <c r="D293"/>
      <c r="E293"/>
      <c r="F293"/>
      <c r="G293"/>
      <c r="H293"/>
      <c r="I293"/>
      <c r="J293"/>
      <c r="K293"/>
      <c r="L293"/>
    </row>
    <row r="294" spans="1:12">
      <c r="A294"/>
      <c r="B294"/>
      <c r="C294"/>
      <c r="D294"/>
      <c r="E294"/>
      <c r="F294"/>
      <c r="G294"/>
      <c r="H294"/>
      <c r="I294"/>
      <c r="J294"/>
      <c r="K294"/>
      <c r="L294"/>
    </row>
    <row r="295" spans="1:12">
      <c r="A295"/>
      <c r="B295"/>
      <c r="C295"/>
      <c r="D295"/>
      <c r="E295"/>
      <c r="F295"/>
      <c r="G295"/>
      <c r="H295"/>
      <c r="I295"/>
      <c r="J295"/>
      <c r="K295"/>
      <c r="L295"/>
    </row>
    <row r="296" spans="1:12">
      <c r="A296"/>
      <c r="B296"/>
      <c r="C296"/>
      <c r="D296"/>
      <c r="E296"/>
      <c r="F296"/>
      <c r="G296"/>
      <c r="H296"/>
      <c r="I296"/>
      <c r="J296"/>
      <c r="K296"/>
      <c r="L296"/>
    </row>
    <row r="297" spans="1:12">
      <c r="A297"/>
      <c r="B297"/>
      <c r="C297"/>
      <c r="D297"/>
      <c r="E297"/>
      <c r="F297"/>
      <c r="G297"/>
      <c r="H297"/>
      <c r="I297"/>
      <c r="J297"/>
      <c r="K297"/>
      <c r="L297"/>
    </row>
    <row r="298" spans="1:12">
      <c r="A298"/>
      <c r="B298"/>
      <c r="C298"/>
      <c r="D298"/>
      <c r="E298"/>
      <c r="F298"/>
      <c r="G298"/>
      <c r="H298"/>
      <c r="I298"/>
      <c r="J298"/>
      <c r="K298"/>
      <c r="L298"/>
    </row>
    <row r="299" spans="1:12">
      <c r="A299"/>
      <c r="B299"/>
      <c r="C299"/>
      <c r="D299"/>
      <c r="E299"/>
      <c r="F299"/>
      <c r="G299"/>
      <c r="H299"/>
      <c r="I299"/>
      <c r="J299"/>
      <c r="K299"/>
      <c r="L299"/>
    </row>
    <row r="300" spans="1:12">
      <c r="A300"/>
      <c r="B300"/>
      <c r="C300"/>
      <c r="D300"/>
      <c r="E300"/>
      <c r="F300"/>
      <c r="G300"/>
      <c r="H300"/>
      <c r="I300"/>
      <c r="J300"/>
      <c r="K300"/>
      <c r="L300"/>
    </row>
    <row r="301" spans="1:12">
      <c r="A301"/>
      <c r="B301"/>
      <c r="C301"/>
      <c r="D301"/>
      <c r="E301"/>
      <c r="F301"/>
      <c r="G301"/>
      <c r="H301"/>
      <c r="I301"/>
      <c r="J301"/>
      <c r="K301"/>
      <c r="L301"/>
    </row>
    <row r="302" spans="1:12">
      <c r="A302"/>
      <c r="B302"/>
      <c r="C302"/>
      <c r="D302"/>
      <c r="E302"/>
      <c r="F302"/>
      <c r="G302"/>
      <c r="H302"/>
      <c r="I302"/>
      <c r="J302"/>
      <c r="K302"/>
      <c r="L302"/>
    </row>
    <row r="303" spans="1:12">
      <c r="A303"/>
      <c r="B303"/>
      <c r="C303"/>
      <c r="D303"/>
      <c r="E303"/>
      <c r="F303"/>
      <c r="G303"/>
      <c r="H303"/>
      <c r="I303"/>
      <c r="J303"/>
      <c r="K303"/>
      <c r="L303"/>
    </row>
    <row r="304" spans="1:12">
      <c r="A304"/>
      <c r="B304"/>
      <c r="C304"/>
      <c r="D304"/>
      <c r="E304"/>
      <c r="F304"/>
      <c r="G304"/>
      <c r="H304"/>
      <c r="I304"/>
      <c r="J304"/>
      <c r="K304"/>
      <c r="L304"/>
    </row>
    <row r="305" spans="1:12">
      <c r="A305"/>
      <c r="B305"/>
      <c r="C305"/>
      <c r="D305"/>
      <c r="E305"/>
      <c r="F305"/>
      <c r="G305"/>
      <c r="H305"/>
      <c r="I305"/>
      <c r="J305"/>
      <c r="K305"/>
      <c r="L305"/>
    </row>
    <row r="306" spans="1:12">
      <c r="A306"/>
      <c r="B306"/>
      <c r="C306"/>
      <c r="D306"/>
      <c r="E306"/>
      <c r="F306"/>
      <c r="G306"/>
      <c r="H306"/>
      <c r="I306"/>
      <c r="J306"/>
      <c r="K306"/>
      <c r="L306"/>
    </row>
    <row r="307" spans="1:12">
      <c r="A307"/>
      <c r="B307"/>
      <c r="C307"/>
      <c r="D307"/>
      <c r="E307"/>
      <c r="F307"/>
      <c r="G307"/>
      <c r="H307"/>
      <c r="I307"/>
      <c r="J307"/>
      <c r="K307"/>
      <c r="L307"/>
    </row>
    <row r="308" spans="1:12">
      <c r="A308"/>
      <c r="B308"/>
      <c r="C308"/>
      <c r="D308"/>
      <c r="E308"/>
      <c r="F308"/>
      <c r="G308"/>
      <c r="H308"/>
      <c r="I308"/>
      <c r="J308"/>
      <c r="K308"/>
      <c r="L308"/>
    </row>
    <row r="309" spans="1:12">
      <c r="A309"/>
      <c r="B309"/>
      <c r="C309"/>
      <c r="D309"/>
      <c r="E309"/>
      <c r="F309"/>
      <c r="G309"/>
      <c r="H309"/>
      <c r="I309"/>
      <c r="J309"/>
      <c r="K309"/>
      <c r="L309"/>
    </row>
    <row r="310" spans="1:12">
      <c r="A310"/>
      <c r="B310"/>
      <c r="C310"/>
      <c r="D310"/>
      <c r="E310"/>
      <c r="F310"/>
      <c r="G310"/>
      <c r="H310"/>
      <c r="I310"/>
      <c r="J310"/>
      <c r="K310"/>
      <c r="L310"/>
    </row>
    <row r="311" spans="1:12">
      <c r="A311"/>
      <c r="B311"/>
      <c r="C311"/>
      <c r="D311"/>
      <c r="E311"/>
      <c r="F311"/>
      <c r="G311"/>
      <c r="H311"/>
      <c r="I311"/>
      <c r="J311"/>
      <c r="K311"/>
      <c r="L311"/>
    </row>
    <row r="312" spans="1:12">
      <c r="A312"/>
      <c r="B312"/>
      <c r="C312"/>
      <c r="D312"/>
      <c r="E312"/>
      <c r="F312"/>
      <c r="G312"/>
      <c r="H312"/>
      <c r="I312"/>
      <c r="J312"/>
      <c r="K312"/>
      <c r="L312"/>
    </row>
    <row r="313" spans="1:12">
      <c r="A313"/>
      <c r="B313"/>
      <c r="C313"/>
      <c r="D313"/>
      <c r="E313"/>
      <c r="F313"/>
      <c r="G313"/>
      <c r="H313"/>
      <c r="I313"/>
      <c r="J313"/>
      <c r="K313"/>
      <c r="L313"/>
    </row>
    <row r="314" spans="1:12">
      <c r="A314"/>
      <c r="B314"/>
      <c r="C314"/>
      <c r="D314"/>
      <c r="E314"/>
      <c r="F314"/>
      <c r="G314"/>
      <c r="H314"/>
      <c r="I314"/>
      <c r="J314"/>
      <c r="K314"/>
      <c r="L314"/>
    </row>
  </sheetData>
  <mergeCells count="5">
    <mergeCell ref="A3:L3"/>
    <mergeCell ref="A5:L5"/>
    <mergeCell ref="B7:B8"/>
    <mergeCell ref="C7:C8"/>
    <mergeCell ref="D7:F7"/>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EC19-27F8-41AC-84D8-0D7B1C2605A6}">
  <dimension ref="A1:N57"/>
  <sheetViews>
    <sheetView zoomScaleNormal="100" workbookViewId="0"/>
  </sheetViews>
  <sheetFormatPr defaultColWidth="9.109375" defaultRowHeight="15.6"/>
  <cols>
    <col min="1" max="1" width="9.88671875" style="1" customWidth="1"/>
    <col min="2" max="2" width="12.6640625" style="1" customWidth="1"/>
    <col min="3" max="3" width="11.88671875" style="1" customWidth="1"/>
    <col min="4" max="4" width="12.109375" style="1" customWidth="1"/>
    <col min="5" max="5" width="11.44140625" style="1" customWidth="1"/>
    <col min="6" max="6" width="11.33203125" style="1" customWidth="1"/>
    <col min="7" max="7" width="11.5546875" style="1" customWidth="1"/>
    <col min="8" max="8" width="20.44140625" style="1" bestFit="1" customWidth="1"/>
    <col min="9" max="9" width="19.5546875" style="1" customWidth="1"/>
    <col min="10" max="10" width="16.109375" style="1" bestFit="1" customWidth="1"/>
    <col min="11" max="11" width="21.6640625" style="1" bestFit="1" customWidth="1"/>
    <col min="12" max="13" width="16.6640625" style="1" customWidth="1"/>
    <col min="14" max="14" width="9.6640625" style="1" customWidth="1"/>
    <col min="15" max="27" width="8.88671875" style="1" customWidth="1"/>
    <col min="28" max="16384" width="9.109375" style="1"/>
  </cols>
  <sheetData>
    <row r="1" spans="1:14" ht="17.399999999999999">
      <c r="A1" s="23" t="s">
        <v>42</v>
      </c>
      <c r="B1" s="22"/>
      <c r="C1" s="22"/>
      <c r="D1" s="22"/>
      <c r="E1" s="22"/>
      <c r="F1" s="22"/>
      <c r="G1" s="22"/>
      <c r="H1" s="22"/>
      <c r="I1" s="22"/>
      <c r="J1" s="22"/>
      <c r="K1" s="22"/>
    </row>
    <row r="2" spans="1:14" ht="16.2">
      <c r="A2" s="21" t="s">
        <v>41</v>
      </c>
      <c r="B2" s="3"/>
      <c r="C2" s="3"/>
      <c r="D2" s="3"/>
      <c r="E2" s="3"/>
      <c r="F2" s="3"/>
      <c r="G2" s="3"/>
      <c r="H2" s="19"/>
      <c r="I2" s="19" t="s">
        <v>40</v>
      </c>
      <c r="J2" s="4"/>
      <c r="K2" s="4"/>
      <c r="L2" s="4"/>
      <c r="M2" s="4"/>
      <c r="N2" s="4"/>
    </row>
    <row r="3" spans="1:14" ht="16.2">
      <c r="A3" s="3"/>
      <c r="B3" s="3"/>
      <c r="C3" s="3"/>
      <c r="D3" s="3"/>
      <c r="E3" s="3"/>
      <c r="F3" s="3"/>
      <c r="G3" s="3"/>
      <c r="H3" s="19"/>
      <c r="I3" s="19" t="s">
        <v>39</v>
      </c>
      <c r="J3" s="4"/>
      <c r="K3" s="4"/>
      <c r="L3" s="4"/>
      <c r="M3" s="4"/>
      <c r="N3" s="4"/>
    </row>
    <row r="4" spans="1:14" ht="16.2">
      <c r="A4" s="20"/>
      <c r="B4" s="3"/>
      <c r="C4" s="3"/>
      <c r="D4" s="3"/>
      <c r="E4" s="3"/>
      <c r="F4" s="3"/>
      <c r="G4" s="3"/>
      <c r="H4" s="19"/>
      <c r="I4" s="19" t="s">
        <v>38</v>
      </c>
      <c r="J4" s="4"/>
      <c r="K4" s="4"/>
      <c r="L4" s="4"/>
      <c r="M4" s="4"/>
      <c r="N4" s="4"/>
    </row>
    <row r="5" spans="1:14" ht="16.2">
      <c r="A5" s="20"/>
      <c r="B5" s="3"/>
      <c r="C5" s="3"/>
      <c r="D5" s="3"/>
      <c r="E5" s="3"/>
      <c r="F5" s="3"/>
      <c r="G5" s="3"/>
      <c r="H5" s="19"/>
      <c r="I5" s="19" t="s">
        <v>37</v>
      </c>
      <c r="J5" s="4"/>
      <c r="K5" s="4"/>
      <c r="L5" s="4"/>
      <c r="M5" s="4"/>
      <c r="N5" s="4"/>
    </row>
    <row r="6" spans="1:14" ht="16.2">
      <c r="A6" s="19" t="s">
        <v>36</v>
      </c>
      <c r="B6" s="3"/>
      <c r="C6" s="3"/>
      <c r="D6" s="3"/>
      <c r="E6" s="3"/>
      <c r="F6" s="3"/>
      <c r="G6" s="3"/>
      <c r="H6" s="3"/>
      <c r="I6" s="19"/>
      <c r="J6" s="4"/>
      <c r="K6" s="4"/>
      <c r="L6" s="4"/>
      <c r="M6" s="4"/>
      <c r="N6" s="4"/>
    </row>
    <row r="7" spans="1:14" ht="18.600000000000001">
      <c r="A7" s="3"/>
      <c r="B7" s="3"/>
      <c r="C7" s="3"/>
      <c r="D7" s="3"/>
      <c r="E7" s="3"/>
      <c r="F7" s="3"/>
      <c r="G7" s="3"/>
      <c r="H7" s="16" t="s">
        <v>35</v>
      </c>
      <c r="I7" s="15" t="s">
        <v>34</v>
      </c>
      <c r="J7" s="16" t="s">
        <v>33</v>
      </c>
      <c r="K7" s="16" t="s">
        <v>32</v>
      </c>
    </row>
    <row r="8" spans="1:14" ht="36.75" customHeight="1">
      <c r="A8" s="18" t="s">
        <v>31</v>
      </c>
      <c r="B8" s="18" t="s">
        <v>30</v>
      </c>
      <c r="C8" s="18" t="s">
        <v>29</v>
      </c>
      <c r="D8" s="18" t="s">
        <v>28</v>
      </c>
      <c r="E8" s="11" t="s">
        <v>27</v>
      </c>
      <c r="F8" s="18" t="s">
        <v>26</v>
      </c>
      <c r="G8" s="18" t="s">
        <v>25</v>
      </c>
      <c r="H8" s="15" t="s">
        <v>24</v>
      </c>
      <c r="I8" s="17" t="s">
        <v>23</v>
      </c>
      <c r="J8" s="16" t="s">
        <v>22</v>
      </c>
      <c r="K8" s="15" t="s">
        <v>21</v>
      </c>
      <c r="L8" s="14" t="s">
        <v>20</v>
      </c>
      <c r="M8" s="14" t="s">
        <v>19</v>
      </c>
    </row>
    <row r="9" spans="1:14">
      <c r="A9" s="11">
        <v>2016</v>
      </c>
      <c r="B9" s="13">
        <v>10000</v>
      </c>
      <c r="C9" s="11">
        <v>0</v>
      </c>
      <c r="D9" s="11">
        <v>12</v>
      </c>
      <c r="E9" s="12">
        <v>2500</v>
      </c>
      <c r="F9" s="11">
        <v>48</v>
      </c>
      <c r="G9" s="10">
        <v>5000</v>
      </c>
      <c r="H9" s="9">
        <f t="shared" ref="H9:H18" si="0">B9*B$32*(M9-L9)</f>
        <v>2998.140930281641</v>
      </c>
      <c r="I9" s="9">
        <f t="shared" ref="I9:I18" si="1">E9*LN(H9)-H9</f>
        <v>17016.228283860801</v>
      </c>
      <c r="J9" s="9">
        <f t="shared" ref="J9:J18" si="2">(E9-H9)^2/H9</f>
        <v>82.766084781260886</v>
      </c>
      <c r="K9" s="9">
        <f t="shared" ref="K9:K18" si="3">(E9-H9)/SQRT(J$19*H9)</f>
        <v>-1.3779788184736008</v>
      </c>
      <c r="L9" s="1">
        <v>0</v>
      </c>
      <c r="M9" s="1">
        <f t="shared" ref="M9:M18" si="4">((D9-6)^B$31)/((D9-6)^B$31 +B$30^B$31)</f>
        <v>0.46948652212365194</v>
      </c>
    </row>
    <row r="10" spans="1:14">
      <c r="A10" s="11">
        <v>2016</v>
      </c>
      <c r="B10" s="13">
        <v>10000</v>
      </c>
      <c r="C10" s="11">
        <v>12</v>
      </c>
      <c r="D10" s="11">
        <v>24</v>
      </c>
      <c r="E10" s="12">
        <v>1800</v>
      </c>
      <c r="F10" s="11">
        <v>48</v>
      </c>
      <c r="G10" s="10">
        <v>5000</v>
      </c>
      <c r="H10" s="9">
        <f t="shared" si="0"/>
        <v>1639.6388306211652</v>
      </c>
      <c r="I10" s="9">
        <f t="shared" si="1"/>
        <v>11684.377457780234</v>
      </c>
      <c r="J10" s="9">
        <f t="shared" si="2"/>
        <v>15.683761670126549</v>
      </c>
      <c r="K10" s="9">
        <f t="shared" si="3"/>
        <v>0.59984832874908711</v>
      </c>
      <c r="L10" s="1">
        <f>((C10-6)^B$31)/((C10-6)^B$31 +B$30^B$31)</f>
        <v>0.46948652212365194</v>
      </c>
      <c r="M10" s="1">
        <f t="shared" si="4"/>
        <v>0.72624174145048648</v>
      </c>
    </row>
    <row r="11" spans="1:14">
      <c r="A11" s="11">
        <v>2016</v>
      </c>
      <c r="B11" s="13">
        <v>10000</v>
      </c>
      <c r="C11" s="11">
        <v>24</v>
      </c>
      <c r="D11" s="11">
        <v>36</v>
      </c>
      <c r="E11" s="12">
        <v>500</v>
      </c>
      <c r="F11" s="11">
        <v>48</v>
      </c>
      <c r="G11" s="10">
        <v>5000</v>
      </c>
      <c r="H11" s="9">
        <f t="shared" si="0"/>
        <v>569.95863159629573</v>
      </c>
      <c r="I11" s="9">
        <f t="shared" si="1"/>
        <v>2602.8232594276897</v>
      </c>
      <c r="J11" s="9">
        <f t="shared" si="2"/>
        <v>8.5869567781066944</v>
      </c>
      <c r="K11" s="9">
        <f t="shared" si="3"/>
        <v>-0.44384974486215417</v>
      </c>
      <c r="L11" s="1">
        <f>((C11-6)^B$31)/((C11-6)^B$31 +B$30^B$31)</f>
        <v>0.72624174145048648</v>
      </c>
      <c r="M11" s="1">
        <f t="shared" si="4"/>
        <v>0.81549301479785508</v>
      </c>
    </row>
    <row r="12" spans="1:14">
      <c r="A12" s="11">
        <v>2016</v>
      </c>
      <c r="B12" s="13">
        <v>10000</v>
      </c>
      <c r="C12" s="11">
        <v>36</v>
      </c>
      <c r="D12" s="11">
        <v>48</v>
      </c>
      <c r="E12" s="12">
        <v>200</v>
      </c>
      <c r="F12" s="11">
        <v>48</v>
      </c>
      <c r="G12" s="10">
        <v>5000</v>
      </c>
      <c r="H12" s="9">
        <f t="shared" si="0"/>
        <v>289.6301658775817</v>
      </c>
      <c r="I12" s="9">
        <f t="shared" si="1"/>
        <v>844.09079792817852</v>
      </c>
      <c r="J12" s="9">
        <f t="shared" si="2"/>
        <v>27.737327052591503</v>
      </c>
      <c r="K12" s="9">
        <f t="shared" si="3"/>
        <v>-0.79771661880091582</v>
      </c>
      <c r="L12" s="1">
        <f>((C12-6)^B$31)/((C12-6)^B$31 +B$30^B$31)</f>
        <v>0.81549301479785508</v>
      </c>
      <c r="M12" s="1">
        <f t="shared" si="4"/>
        <v>0.86084693992744821</v>
      </c>
    </row>
    <row r="13" spans="1:14">
      <c r="A13" s="11">
        <v>2017</v>
      </c>
      <c r="B13" s="13">
        <v>12000</v>
      </c>
      <c r="C13" s="11">
        <v>0</v>
      </c>
      <c r="D13" s="11">
        <v>12</v>
      </c>
      <c r="E13" s="12">
        <v>4100</v>
      </c>
      <c r="F13" s="11">
        <v>36</v>
      </c>
      <c r="G13" s="10">
        <v>7000</v>
      </c>
      <c r="H13" s="9">
        <f t="shared" si="0"/>
        <v>3597.7691163379691</v>
      </c>
      <c r="I13" s="9">
        <f t="shared" si="1"/>
        <v>29973.31477771085</v>
      </c>
      <c r="J13" s="9">
        <f t="shared" si="2"/>
        <v>70.108962623117293</v>
      </c>
      <c r="K13" s="9">
        <f t="shared" si="3"/>
        <v>1.2682448476817034</v>
      </c>
      <c r="L13" s="1">
        <v>0</v>
      </c>
      <c r="M13" s="1">
        <f t="shared" si="4"/>
        <v>0.46948652212365194</v>
      </c>
    </row>
    <row r="14" spans="1:14">
      <c r="A14" s="11">
        <v>2017</v>
      </c>
      <c r="B14" s="13">
        <v>12000</v>
      </c>
      <c r="C14" s="11">
        <v>12</v>
      </c>
      <c r="D14" s="11">
        <v>24</v>
      </c>
      <c r="E14" s="12">
        <v>2000</v>
      </c>
      <c r="F14" s="11">
        <v>36</v>
      </c>
      <c r="G14" s="10">
        <v>7000</v>
      </c>
      <c r="H14" s="9">
        <f t="shared" si="0"/>
        <v>1967.5665967453981</v>
      </c>
      <c r="I14" s="9">
        <f t="shared" si="1"/>
        <v>13201.539059510731</v>
      </c>
      <c r="J14" s="9">
        <f t="shared" si="2"/>
        <v>0.5346328040004531</v>
      </c>
      <c r="K14" s="9">
        <f t="shared" si="3"/>
        <v>0.11075010265749811</v>
      </c>
      <c r="L14" s="1">
        <f>((C14-6)^B$31)/((C14-6)^B$31 +B$30^B$31)</f>
        <v>0.46948652212365194</v>
      </c>
      <c r="M14" s="1">
        <f t="shared" si="4"/>
        <v>0.72624174145048648</v>
      </c>
    </row>
    <row r="15" spans="1:14">
      <c r="A15" s="11">
        <v>2017</v>
      </c>
      <c r="B15" s="13">
        <v>12000</v>
      </c>
      <c r="C15" s="11">
        <v>24</v>
      </c>
      <c r="D15" s="11">
        <v>36</v>
      </c>
      <c r="E15" s="12">
        <v>900</v>
      </c>
      <c r="F15" s="11">
        <v>36</v>
      </c>
      <c r="G15" s="10">
        <v>7000</v>
      </c>
      <c r="H15" s="9">
        <f t="shared" si="0"/>
        <v>683.95035791555495</v>
      </c>
      <c r="I15" s="9">
        <f t="shared" si="1"/>
        <v>5191.146447042177</v>
      </c>
      <c r="J15" s="9">
        <f t="shared" si="2"/>
        <v>68.246835906444417</v>
      </c>
      <c r="K15" s="9">
        <f t="shared" si="3"/>
        <v>1.2512889135349312</v>
      </c>
      <c r="L15" s="1">
        <f>((C15-6)^B$31)/((C15-6)^B$31 +B$30^B$31)</f>
        <v>0.72624174145048648</v>
      </c>
      <c r="M15" s="1">
        <f t="shared" si="4"/>
        <v>0.81549301479785508</v>
      </c>
    </row>
    <row r="16" spans="1:14">
      <c r="A16" s="11">
        <v>2018</v>
      </c>
      <c r="B16" s="13">
        <v>15000</v>
      </c>
      <c r="C16" s="11">
        <v>0</v>
      </c>
      <c r="D16" s="11">
        <v>12</v>
      </c>
      <c r="E16" s="12">
        <v>4600</v>
      </c>
      <c r="F16" s="11">
        <v>24</v>
      </c>
      <c r="G16" s="10">
        <v>6800</v>
      </c>
      <c r="H16" s="9">
        <f t="shared" si="0"/>
        <v>4497.2113954224624</v>
      </c>
      <c r="I16" s="9">
        <f t="shared" si="1"/>
        <v>34194.367455897191</v>
      </c>
      <c r="J16" s="9">
        <f t="shared" si="2"/>
        <v>2.3493441384035449</v>
      </c>
      <c r="K16" s="9">
        <f t="shared" si="3"/>
        <v>0.23216120816300093</v>
      </c>
      <c r="L16" s="1">
        <v>0</v>
      </c>
      <c r="M16" s="1">
        <f t="shared" si="4"/>
        <v>0.46948652212365194</v>
      </c>
    </row>
    <row r="17" spans="1:13">
      <c r="A17" s="11">
        <v>2018</v>
      </c>
      <c r="B17" s="13">
        <v>15000</v>
      </c>
      <c r="C17" s="11">
        <v>12</v>
      </c>
      <c r="D17" s="11">
        <v>24</v>
      </c>
      <c r="E17" s="12">
        <v>2200</v>
      </c>
      <c r="F17" s="11">
        <v>24</v>
      </c>
      <c r="G17" s="10">
        <v>6800</v>
      </c>
      <c r="H17" s="9">
        <f t="shared" si="0"/>
        <v>2459.458245931748</v>
      </c>
      <c r="I17" s="9">
        <f t="shared" si="1"/>
        <v>14717.473788841258</v>
      </c>
      <c r="J17" s="9">
        <f t="shared" si="2"/>
        <v>27.371304836474785</v>
      </c>
      <c r="K17" s="9">
        <f t="shared" si="3"/>
        <v>-0.79243579880083492</v>
      </c>
      <c r="L17" s="1">
        <f>((C17-6)^B$31)/((C17-6)^B$31 +B$30^B$31)</f>
        <v>0.46948652212365194</v>
      </c>
      <c r="M17" s="1">
        <f t="shared" si="4"/>
        <v>0.72624174145048648</v>
      </c>
    </row>
    <row r="18" spans="1:13">
      <c r="A18" s="11">
        <v>2019</v>
      </c>
      <c r="B18" s="13">
        <v>18000</v>
      </c>
      <c r="C18" s="11">
        <v>0</v>
      </c>
      <c r="D18" s="11">
        <v>12</v>
      </c>
      <c r="E18" s="12">
        <v>5300</v>
      </c>
      <c r="F18" s="11">
        <v>12</v>
      </c>
      <c r="G18" s="10">
        <v>5300</v>
      </c>
      <c r="H18" s="9">
        <f t="shared" si="0"/>
        <v>5396.6536745069543</v>
      </c>
      <c r="I18" s="9">
        <f t="shared" si="1"/>
        <v>40149.078383456261</v>
      </c>
      <c r="J18" s="9">
        <f t="shared" si="2"/>
        <v>1.7310602753380797</v>
      </c>
      <c r="K18" s="9">
        <f t="shared" si="3"/>
        <v>-0.19928399977815087</v>
      </c>
      <c r="L18" s="1">
        <v>0</v>
      </c>
      <c r="M18" s="1">
        <f t="shared" si="4"/>
        <v>0.46948652212365194</v>
      </c>
    </row>
    <row r="19" spans="1:13">
      <c r="A19" s="2"/>
      <c r="B19" s="2"/>
      <c r="C19" s="2"/>
      <c r="D19" s="2"/>
      <c r="E19" s="2"/>
      <c r="F19" s="2"/>
      <c r="G19" s="2"/>
      <c r="I19" s="1">
        <f>SUM(I9:I18)</f>
        <v>169574.43971145537</v>
      </c>
      <c r="J19" s="1">
        <f>SUM(J9:J18)/7</f>
        <v>43.588038695123451</v>
      </c>
    </row>
    <row r="20" spans="1:13">
      <c r="A20" s="3" t="s">
        <v>18</v>
      </c>
      <c r="B20" s="3"/>
      <c r="C20" s="3"/>
      <c r="D20" s="3"/>
      <c r="E20" s="3"/>
      <c r="F20" s="3"/>
      <c r="G20" s="3"/>
      <c r="H20" s="3"/>
      <c r="I20" s="2"/>
      <c r="J20" s="2"/>
      <c r="K20" s="2"/>
    </row>
    <row r="21" spans="1:13" ht="18.600000000000001">
      <c r="A21" s="3" t="s">
        <v>17</v>
      </c>
      <c r="B21" s="3"/>
      <c r="C21" s="3"/>
      <c r="D21" s="3"/>
      <c r="E21" s="3"/>
      <c r="F21" s="3"/>
      <c r="G21" s="3"/>
      <c r="H21" s="3"/>
      <c r="I21" s="2"/>
      <c r="J21" s="2"/>
      <c r="K21" s="2"/>
    </row>
    <row r="22" spans="1:13">
      <c r="A22" s="3"/>
      <c r="B22" s="3"/>
      <c r="C22" s="3"/>
      <c r="D22" s="3"/>
      <c r="E22" s="3"/>
      <c r="F22" s="3"/>
      <c r="G22" s="3"/>
      <c r="H22" s="3"/>
      <c r="I22" s="2"/>
      <c r="J22" s="2"/>
      <c r="K22" s="2"/>
    </row>
    <row r="23" spans="1:13">
      <c r="A23" s="3" t="s">
        <v>16</v>
      </c>
      <c r="B23" s="3"/>
      <c r="C23" s="3"/>
      <c r="D23" s="3"/>
      <c r="E23" s="3"/>
      <c r="F23" s="3"/>
      <c r="G23" s="3"/>
      <c r="H23" s="3"/>
      <c r="I23" s="2"/>
      <c r="J23" s="2"/>
      <c r="K23" s="2"/>
    </row>
    <row r="24" spans="1:13">
      <c r="A24" s="2"/>
      <c r="B24" s="3"/>
      <c r="C24" s="3"/>
      <c r="D24" s="3"/>
      <c r="E24" s="3"/>
      <c r="F24" s="3"/>
      <c r="G24" s="3"/>
      <c r="H24" s="3"/>
      <c r="I24" s="2"/>
      <c r="J24" s="2"/>
      <c r="K24" s="2"/>
    </row>
    <row r="25" spans="1:13">
      <c r="A25" s="4" t="s">
        <v>15</v>
      </c>
      <c r="B25" s="2"/>
      <c r="C25" s="2"/>
      <c r="D25" s="2"/>
      <c r="E25" s="2"/>
      <c r="F25" s="2"/>
      <c r="G25" s="2"/>
      <c r="H25" s="2"/>
      <c r="I25" s="2"/>
      <c r="J25" s="2"/>
      <c r="K25" s="2"/>
    </row>
    <row r="26" spans="1:13">
      <c r="A26" s="3"/>
      <c r="B26" s="2"/>
      <c r="C26" s="2"/>
      <c r="D26" s="2"/>
      <c r="E26" s="2"/>
      <c r="F26" s="2"/>
      <c r="G26" s="2"/>
      <c r="H26" s="2"/>
      <c r="I26" s="2"/>
      <c r="J26" s="2"/>
      <c r="K26" s="2"/>
    </row>
    <row r="27" spans="1:13" ht="18">
      <c r="A27" s="3" t="s">
        <v>14</v>
      </c>
      <c r="B27" s="2"/>
      <c r="C27" s="2"/>
      <c r="D27" s="2"/>
      <c r="E27" s="2"/>
      <c r="F27" s="2"/>
      <c r="G27" s="8"/>
      <c r="H27" s="2"/>
      <c r="I27" s="2"/>
      <c r="J27" s="2"/>
      <c r="K27" s="2"/>
    </row>
    <row r="28" spans="1:13">
      <c r="A28" s="3" t="s">
        <v>13</v>
      </c>
      <c r="B28" s="2"/>
      <c r="C28" s="2"/>
      <c r="D28" s="2"/>
      <c r="E28" s="2"/>
      <c r="F28" s="2"/>
      <c r="G28" s="2"/>
      <c r="H28" s="2"/>
      <c r="I28" s="2"/>
      <c r="J28" s="2"/>
      <c r="K28" s="2"/>
    </row>
    <row r="29" spans="1:13">
      <c r="A29" s="3"/>
      <c r="B29" s="2"/>
      <c r="C29" s="2"/>
      <c r="D29" s="2"/>
      <c r="E29" s="2"/>
      <c r="F29" s="2"/>
      <c r="G29" s="2"/>
      <c r="H29" s="2"/>
      <c r="I29" s="2"/>
      <c r="J29" s="2"/>
      <c r="K29" s="2"/>
    </row>
    <row r="30" spans="1:13">
      <c r="A30" s="7" t="s">
        <v>12</v>
      </c>
      <c r="B30" s="6">
        <v>6.7805</v>
      </c>
      <c r="C30" s="2"/>
      <c r="D30" s="2"/>
      <c r="E30" s="2"/>
      <c r="F30" s="2"/>
      <c r="G30" s="2"/>
      <c r="H30" s="2"/>
      <c r="I30" s="2"/>
      <c r="J30" s="2"/>
      <c r="K30" s="2"/>
    </row>
    <row r="31" spans="1:13">
      <c r="A31" s="7" t="s">
        <v>11</v>
      </c>
      <c r="B31" s="6">
        <v>0.99929999999999997</v>
      </c>
      <c r="C31" s="2"/>
      <c r="D31" s="2"/>
      <c r="E31" s="2"/>
      <c r="F31" s="2"/>
      <c r="G31" s="2"/>
      <c r="H31" s="2"/>
      <c r="I31" s="2"/>
      <c r="J31" s="2"/>
      <c r="K31" s="2"/>
    </row>
    <row r="32" spans="1:13">
      <c r="A32" s="7" t="s">
        <v>10</v>
      </c>
      <c r="B32" s="6">
        <v>0.63859999999999995</v>
      </c>
      <c r="C32" s="2"/>
      <c r="D32" s="2"/>
      <c r="E32" s="2"/>
      <c r="F32" s="2"/>
      <c r="G32" s="2"/>
      <c r="H32" s="2"/>
      <c r="I32" s="2"/>
      <c r="J32" s="2"/>
      <c r="K32" s="2"/>
    </row>
    <row r="33" spans="1:11">
      <c r="A33" s="3"/>
      <c r="B33" s="2"/>
      <c r="C33" s="2"/>
      <c r="D33" s="2"/>
      <c r="E33" s="2"/>
      <c r="F33" s="2"/>
      <c r="G33" s="2"/>
      <c r="H33" s="2"/>
      <c r="I33" s="2"/>
      <c r="J33" s="2"/>
      <c r="K33" s="2"/>
    </row>
    <row r="34" spans="1:11">
      <c r="A34" s="3" t="s">
        <v>9</v>
      </c>
      <c r="B34" s="3" t="s">
        <v>8</v>
      </c>
      <c r="C34" s="2"/>
      <c r="D34" s="2"/>
      <c r="E34" s="2"/>
      <c r="F34" s="2"/>
      <c r="G34" s="2"/>
      <c r="H34" s="2"/>
      <c r="I34" s="2"/>
      <c r="J34" s="2"/>
      <c r="K34" s="2"/>
    </row>
    <row r="35" spans="1:11" ht="16.2">
      <c r="A35" s="3"/>
      <c r="B35" s="3"/>
      <c r="C35" s="5" t="s">
        <v>5</v>
      </c>
      <c r="D35" s="4"/>
      <c r="E35" s="3"/>
      <c r="F35" s="3"/>
      <c r="G35" s="2"/>
      <c r="H35" s="2"/>
      <c r="I35" s="2"/>
      <c r="J35" s="2"/>
      <c r="K35" s="2"/>
    </row>
    <row r="36" spans="1:11" ht="18.600000000000001">
      <c r="A36" s="3" t="s">
        <v>7</v>
      </c>
      <c r="B36" s="3" t="s">
        <v>6</v>
      </c>
      <c r="C36" s="3"/>
      <c r="D36" s="3"/>
      <c r="E36" s="3"/>
      <c r="F36" s="3"/>
      <c r="G36" s="2"/>
      <c r="H36" s="2"/>
      <c r="I36" s="2"/>
      <c r="J36" s="2"/>
      <c r="K36" s="2"/>
    </row>
    <row r="37" spans="1:11" ht="16.2">
      <c r="A37" s="3"/>
      <c r="B37" s="3"/>
      <c r="C37" s="5" t="s">
        <v>5</v>
      </c>
      <c r="D37" s="3"/>
      <c r="E37" s="3"/>
      <c r="F37" s="3"/>
      <c r="G37" s="2"/>
      <c r="H37" s="2"/>
      <c r="I37" s="2"/>
      <c r="J37" s="2"/>
      <c r="K37" s="2"/>
    </row>
    <row r="38" spans="1:11">
      <c r="A38" s="3" t="s">
        <v>4</v>
      </c>
      <c r="B38" s="3" t="s">
        <v>3</v>
      </c>
      <c r="C38" s="2"/>
      <c r="D38" s="2"/>
      <c r="E38" s="2"/>
      <c r="F38" s="2"/>
      <c r="G38" s="2"/>
      <c r="H38" s="2"/>
      <c r="I38" s="2"/>
      <c r="J38" s="2"/>
      <c r="K38" s="2"/>
    </row>
    <row r="39" spans="1:11" ht="16.2">
      <c r="A39" s="3"/>
      <c r="B39" s="3"/>
      <c r="C39" s="5" t="s">
        <v>2</v>
      </c>
      <c r="D39" s="2"/>
      <c r="E39" s="2"/>
      <c r="F39" s="2"/>
      <c r="G39" s="2"/>
      <c r="H39" s="2"/>
      <c r="I39" s="2"/>
      <c r="J39" s="2"/>
      <c r="K39" s="2"/>
    </row>
    <row r="40" spans="1:11" ht="16.2">
      <c r="A40" s="5"/>
      <c r="B40" s="4"/>
      <c r="C40" s="4"/>
      <c r="D40" s="4"/>
      <c r="E40" s="4"/>
      <c r="F40" s="4"/>
      <c r="G40" s="4"/>
      <c r="H40" s="3"/>
      <c r="I40" s="3"/>
      <c r="J40" s="2"/>
      <c r="K40" s="2"/>
    </row>
    <row r="44" spans="1:11" ht="19.95" customHeight="1"/>
    <row r="45" spans="1:11" ht="19.95" customHeight="1"/>
    <row r="46" spans="1:11" ht="19.95" customHeight="1"/>
    <row r="47" spans="1:11" ht="19.95" customHeight="1"/>
    <row r="57" spans="1:11">
      <c r="A57" s="4" t="s">
        <v>1</v>
      </c>
      <c r="B57" s="3"/>
      <c r="C57" s="3"/>
      <c r="D57" s="3"/>
      <c r="E57" s="3"/>
      <c r="F57" s="3"/>
      <c r="G57" s="3"/>
      <c r="H57" s="3"/>
      <c r="I57" s="2"/>
      <c r="J57" s="2"/>
      <c r="K57" s="2"/>
    </row>
  </sheetData>
  <pageMargins left="0.7" right="0.7" top="0.75" bottom="0.75" header="0.3" footer="0.3"/>
  <pageSetup orientation="portrait" horizontalDpi="0"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34BC4-5496-41D5-B4BF-2BF955887137}">
  <dimension ref="A1:BW335"/>
  <sheetViews>
    <sheetView zoomScaleNormal="100" workbookViewId="0"/>
  </sheetViews>
  <sheetFormatPr defaultColWidth="9.109375" defaultRowHeight="15.6"/>
  <cols>
    <col min="1" max="1" width="9.109375" style="1"/>
    <col min="2" max="2" width="19.33203125" style="1" customWidth="1"/>
    <col min="3" max="6" width="17.33203125" style="1" customWidth="1"/>
    <col min="7" max="12" width="9.109375" style="1"/>
    <col min="13" max="13" width="9.109375" customWidth="1"/>
    <col min="76" max="16384" width="9.109375" style="1"/>
  </cols>
  <sheetData>
    <row r="1" spans="1:12" ht="15.75" customHeight="1">
      <c r="A1" s="23" t="s">
        <v>859</v>
      </c>
      <c r="B1" s="22"/>
      <c r="C1" s="5" t="s">
        <v>38</v>
      </c>
      <c r="D1" s="22"/>
      <c r="E1" s="22"/>
      <c r="F1" s="22"/>
      <c r="G1" s="22"/>
      <c r="H1" s="22"/>
      <c r="I1" s="22"/>
      <c r="J1" s="22"/>
      <c r="K1" s="22"/>
      <c r="L1" s="2"/>
    </row>
    <row r="2" spans="1:12" ht="15.75" customHeight="1">
      <c r="A2" s="23"/>
      <c r="B2" s="22"/>
      <c r="C2" s="160" t="s">
        <v>193</v>
      </c>
      <c r="D2" s="688"/>
      <c r="E2" s="688"/>
      <c r="F2" s="688"/>
      <c r="G2" s="688"/>
      <c r="H2" s="688"/>
      <c r="I2" s="688"/>
      <c r="J2" s="688"/>
      <c r="K2" s="688"/>
      <c r="L2" s="165"/>
    </row>
    <row r="3" spans="1:12" ht="15.75" customHeight="1">
      <c r="A3" s="21"/>
      <c r="B3" s="21"/>
      <c r="C3" s="5"/>
      <c r="D3" s="687"/>
      <c r="E3" s="687"/>
      <c r="F3" s="687"/>
      <c r="G3" s="687"/>
      <c r="H3" s="687"/>
      <c r="I3" s="687"/>
      <c r="J3" s="687"/>
      <c r="K3" s="687"/>
      <c r="L3" s="701"/>
    </row>
    <row r="4" spans="1:12" ht="33" customHeight="1">
      <c r="A4" s="1670" t="s">
        <v>905</v>
      </c>
      <c r="B4" s="1670"/>
      <c r="C4" s="1670"/>
      <c r="D4" s="1670"/>
      <c r="E4" s="1670"/>
      <c r="F4" s="1670"/>
      <c r="G4" s="1670"/>
      <c r="H4" s="1670"/>
      <c r="I4" s="1670"/>
      <c r="J4" s="1670"/>
      <c r="K4" s="1670"/>
      <c r="L4" s="1670"/>
    </row>
    <row r="5" spans="1:12" ht="15.75" customHeight="1">
      <c r="A5" s="135"/>
      <c r="B5" s="135"/>
      <c r="C5" s="135"/>
      <c r="D5" s="135"/>
      <c r="E5" s="135"/>
      <c r="F5" s="135"/>
      <c r="G5" s="135"/>
      <c r="H5" s="135"/>
      <c r="I5" s="135"/>
      <c r="J5" s="135"/>
      <c r="K5" s="135"/>
      <c r="L5" s="135"/>
    </row>
    <row r="6" spans="1:12" ht="15.75" customHeight="1">
      <c r="A6" s="3" t="s">
        <v>904</v>
      </c>
      <c r="B6" s="135"/>
      <c r="C6" s="135"/>
      <c r="D6" s="135"/>
      <c r="E6" s="135"/>
      <c r="F6" s="135"/>
      <c r="G6" s="135"/>
      <c r="H6" s="135"/>
      <c r="I6" s="135"/>
      <c r="J6" s="135"/>
      <c r="K6" s="135"/>
      <c r="L6" s="135"/>
    </row>
    <row r="7" spans="1:12" ht="15.75" customHeight="1">
      <c r="A7" s="135"/>
      <c r="B7" s="135"/>
      <c r="C7" s="135"/>
      <c r="D7" s="135"/>
      <c r="E7" s="135"/>
      <c r="F7" s="135"/>
      <c r="G7" s="135"/>
      <c r="H7" s="135"/>
      <c r="I7" s="135"/>
      <c r="J7" s="135"/>
      <c r="K7" s="135"/>
      <c r="L7" s="135"/>
    </row>
    <row r="8" spans="1:12" ht="15.75" customHeight="1">
      <c r="A8" s="135"/>
      <c r="B8" s="47" t="s">
        <v>903</v>
      </c>
      <c r="C8" s="700"/>
      <c r="D8" s="700"/>
      <c r="E8" s="700"/>
      <c r="F8" s="135"/>
      <c r="G8" s="135"/>
      <c r="H8" s="135"/>
      <c r="I8" s="135"/>
      <c r="J8" s="135"/>
      <c r="K8" s="135"/>
      <c r="L8" s="135"/>
    </row>
    <row r="9" spans="1:12" ht="15.75" customHeight="1">
      <c r="A9" s="135"/>
      <c r="B9" s="47" t="s">
        <v>902</v>
      </c>
      <c r="C9" s="700"/>
      <c r="D9" s="700"/>
      <c r="E9" s="700"/>
      <c r="F9" s="135"/>
      <c r="G9" s="135"/>
      <c r="H9" s="135"/>
      <c r="I9" s="135"/>
      <c r="J9" s="135"/>
      <c r="K9" s="135"/>
      <c r="L9" s="135"/>
    </row>
    <row r="10" spans="1:12" ht="15.75" customHeight="1">
      <c r="A10" s="135"/>
      <c r="B10" s="47" t="s">
        <v>901</v>
      </c>
      <c r="C10" s="700"/>
      <c r="D10" s="700"/>
      <c r="E10" s="700"/>
      <c r="F10" s="135"/>
      <c r="G10" s="135"/>
      <c r="H10" s="135"/>
      <c r="I10" s="135"/>
      <c r="J10" s="135"/>
      <c r="K10" s="135"/>
      <c r="L10" s="135"/>
    </row>
    <row r="11" spans="1:12" ht="15.75" customHeight="1">
      <c r="A11" s="135"/>
      <c r="B11" s="135"/>
      <c r="C11" s="135"/>
      <c r="D11" s="135"/>
      <c r="E11" s="135"/>
      <c r="F11" s="135"/>
      <c r="G11" s="135"/>
      <c r="H11" s="135"/>
      <c r="I11" s="135"/>
      <c r="J11" s="135"/>
      <c r="K11" s="135"/>
      <c r="L11" s="135"/>
    </row>
    <row r="12" spans="1:12" ht="15.75" customHeight="1">
      <c r="A12" s="3" t="s">
        <v>80</v>
      </c>
      <c r="B12" s="3" t="s">
        <v>900</v>
      </c>
      <c r="C12" s="135"/>
      <c r="D12" s="135"/>
      <c r="E12" s="135"/>
      <c r="F12" s="135"/>
      <c r="G12" s="135"/>
      <c r="H12" s="135"/>
      <c r="I12" s="135"/>
      <c r="J12" s="135"/>
      <c r="K12" s="135"/>
      <c r="L12" s="135"/>
    </row>
    <row r="13" spans="1:12" ht="15.75" customHeight="1">
      <c r="A13" s="5"/>
      <c r="B13" s="47" t="s">
        <v>899</v>
      </c>
      <c r="C13" s="700"/>
      <c r="D13" s="135"/>
      <c r="E13" s="135"/>
      <c r="F13" s="135"/>
      <c r="G13" s="135"/>
      <c r="H13" s="135"/>
      <c r="I13" s="135"/>
      <c r="J13" s="135"/>
      <c r="K13" s="135"/>
      <c r="L13" s="135"/>
    </row>
    <row r="14" spans="1:12" ht="15.75" customHeight="1">
      <c r="A14" s="135"/>
      <c r="B14" s="47" t="s">
        <v>898</v>
      </c>
      <c r="C14" s="700"/>
      <c r="D14" s="135"/>
      <c r="E14" s="135"/>
      <c r="F14" s="135"/>
      <c r="G14" s="135"/>
      <c r="H14" s="135"/>
      <c r="I14" s="135"/>
      <c r="J14" s="135"/>
      <c r="K14" s="135"/>
      <c r="L14" s="135"/>
    </row>
    <row r="15" spans="1:12" ht="15.75" customHeight="1">
      <c r="A15" s="135"/>
      <c r="B15" s="47" t="s">
        <v>897</v>
      </c>
      <c r="C15" s="700"/>
      <c r="D15" s="135"/>
      <c r="E15" s="135"/>
      <c r="F15" s="135"/>
      <c r="G15" s="135"/>
      <c r="H15" s="135"/>
      <c r="I15" s="135"/>
      <c r="J15" s="135"/>
      <c r="K15" s="135"/>
      <c r="L15" s="135"/>
    </row>
    <row r="16" spans="1:12" ht="15.75" customHeight="1">
      <c r="A16" s="135"/>
      <c r="B16" s="47" t="s">
        <v>896</v>
      </c>
      <c r="C16" s="700"/>
      <c r="D16" s="135"/>
      <c r="E16" s="135"/>
      <c r="F16" s="135"/>
      <c r="G16" s="135"/>
      <c r="H16" s="135"/>
      <c r="I16" s="135"/>
      <c r="J16" s="135"/>
      <c r="K16" s="135"/>
      <c r="L16" s="135"/>
    </row>
    <row r="17" spans="1:12" ht="15.75" customHeight="1">
      <c r="A17" s="135"/>
      <c r="B17" s="47" t="s">
        <v>895</v>
      </c>
      <c r="C17" s="700"/>
      <c r="D17" s="135"/>
      <c r="E17" s="135"/>
      <c r="F17" s="135"/>
      <c r="G17" s="135"/>
      <c r="H17" s="135"/>
      <c r="I17" s="135"/>
      <c r="J17" s="135"/>
      <c r="K17" s="135"/>
      <c r="L17" s="135"/>
    </row>
    <row r="18" spans="1:12" ht="15.75" customHeight="1">
      <c r="A18" s="135"/>
      <c r="B18" s="47" t="s">
        <v>894</v>
      </c>
      <c r="C18" s="700"/>
      <c r="D18" s="135"/>
      <c r="E18" s="135"/>
      <c r="F18" s="135"/>
      <c r="G18" s="135"/>
      <c r="H18" s="135"/>
      <c r="I18" s="135"/>
      <c r="J18" s="135"/>
      <c r="K18" s="135"/>
      <c r="L18" s="135"/>
    </row>
    <row r="19" spans="1:12" ht="15.75" customHeight="1">
      <c r="A19" s="21"/>
      <c r="B19" s="160" t="s">
        <v>185</v>
      </c>
      <c r="C19" s="159"/>
      <c r="D19" s="159"/>
      <c r="E19" s="159"/>
      <c r="F19" s="3"/>
      <c r="G19" s="3"/>
      <c r="H19" s="3"/>
      <c r="I19" s="3"/>
      <c r="J19" s="3"/>
      <c r="K19" s="3"/>
      <c r="L19" s="2"/>
    </row>
    <row r="20" spans="1:12" ht="15.75" customHeight="1">
      <c r="A20" s="21"/>
      <c r="B20" s="3"/>
      <c r="C20" s="3"/>
      <c r="D20" s="3"/>
      <c r="E20" s="3"/>
      <c r="F20" s="3"/>
      <c r="G20" s="3"/>
      <c r="H20" s="3"/>
      <c r="I20" s="3"/>
      <c r="J20" s="3"/>
      <c r="K20" s="3"/>
      <c r="L20" s="2"/>
    </row>
    <row r="21" spans="1:12" ht="15.75" customHeight="1">
      <c r="A21" s="3" t="s">
        <v>9</v>
      </c>
      <c r="B21" s="3" t="s">
        <v>893</v>
      </c>
      <c r="C21" s="135"/>
      <c r="D21" s="135"/>
      <c r="E21" s="135"/>
      <c r="F21" s="135"/>
      <c r="G21" s="135"/>
      <c r="H21" s="3"/>
      <c r="I21" s="3"/>
      <c r="J21" s="3"/>
      <c r="K21" s="3"/>
      <c r="L21" s="2"/>
    </row>
    <row r="22" spans="1:12" ht="15.75" customHeight="1">
      <c r="A22" s="21"/>
      <c r="B22" s="160" t="s">
        <v>185</v>
      </c>
      <c r="C22" s="159"/>
      <c r="D22" s="159"/>
      <c r="E22" s="159"/>
      <c r="F22" s="3"/>
      <c r="G22" s="3"/>
      <c r="H22" s="3"/>
      <c r="I22" s="3"/>
      <c r="J22" s="3"/>
      <c r="K22" s="3"/>
      <c r="L22" s="2"/>
    </row>
    <row r="23" spans="1:12" ht="15.75" customHeight="1">
      <c r="A23" s="21"/>
      <c r="B23" s="3"/>
      <c r="C23" s="3"/>
      <c r="D23" s="3"/>
      <c r="E23" s="3"/>
      <c r="F23" s="3"/>
      <c r="G23" s="3"/>
      <c r="H23" s="3"/>
      <c r="I23" s="3"/>
      <c r="J23" s="3"/>
      <c r="K23" s="3"/>
      <c r="L23" s="2"/>
    </row>
    <row r="24" spans="1:12">
      <c r="A24" s="1670" t="s">
        <v>892</v>
      </c>
      <c r="B24" s="1670"/>
      <c r="C24" s="1670"/>
      <c r="D24" s="1670"/>
      <c r="E24" s="1670"/>
      <c r="F24" s="1670"/>
      <c r="G24" s="1670"/>
      <c r="H24" s="1670"/>
      <c r="I24" s="1670"/>
      <c r="J24" s="1670"/>
      <c r="K24" s="1670"/>
      <c r="L24" s="1670"/>
    </row>
    <row r="25" spans="1:12" ht="15.75" customHeight="1">
      <c r="A25" s="3"/>
      <c r="B25" s="687"/>
      <c r="C25" s="687"/>
      <c r="D25" s="687"/>
      <c r="E25" s="3"/>
      <c r="F25" s="3"/>
      <c r="G25" s="3"/>
      <c r="H25" s="3"/>
      <c r="I25" s="3"/>
      <c r="J25" s="3"/>
      <c r="K25" s="3"/>
      <c r="L25" s="2"/>
    </row>
    <row r="26" spans="1:12" ht="15.75" customHeight="1">
      <c r="A26" s="3"/>
      <c r="B26" s="1781" t="s">
        <v>891</v>
      </c>
      <c r="C26" s="1781" t="s">
        <v>890</v>
      </c>
      <c r="D26" s="1783" t="s">
        <v>868</v>
      </c>
      <c r="E26" s="1784"/>
      <c r="F26" s="1785"/>
      <c r="G26" s="3"/>
      <c r="H26" s="3"/>
      <c r="I26" s="3"/>
      <c r="J26" s="3"/>
      <c r="K26" s="3"/>
      <c r="L26" s="2"/>
    </row>
    <row r="27" spans="1:12" ht="31.5" customHeight="1">
      <c r="A27" s="3"/>
      <c r="B27" s="1782"/>
      <c r="C27" s="1782"/>
      <c r="D27" s="134" t="s">
        <v>887</v>
      </c>
      <c r="E27" s="134" t="s">
        <v>886</v>
      </c>
      <c r="F27" s="134" t="s">
        <v>885</v>
      </c>
      <c r="G27" s="3"/>
      <c r="H27" s="3"/>
      <c r="I27" s="3"/>
      <c r="J27" s="3"/>
      <c r="K27" s="3"/>
      <c r="L27" s="2"/>
    </row>
    <row r="28" spans="1:12" ht="31.2">
      <c r="A28" s="3"/>
      <c r="B28" s="133" t="s">
        <v>889</v>
      </c>
      <c r="C28" s="683">
        <v>9000</v>
      </c>
      <c r="D28" s="697">
        <v>0.06</v>
      </c>
      <c r="E28" s="697">
        <v>0.05</v>
      </c>
      <c r="F28" s="697">
        <v>0.03</v>
      </c>
      <c r="G28" s="3"/>
      <c r="H28" s="3"/>
      <c r="I28" s="3"/>
      <c r="J28" s="3"/>
      <c r="K28" s="3"/>
      <c r="L28" s="2"/>
    </row>
    <row r="29" spans="1:12" ht="31.2">
      <c r="A29" s="3"/>
      <c r="B29" s="133" t="s">
        <v>888</v>
      </c>
      <c r="C29" s="683">
        <v>6000</v>
      </c>
      <c r="D29" s="697">
        <v>0.04</v>
      </c>
      <c r="E29" s="697">
        <v>0.03</v>
      </c>
      <c r="F29" s="697">
        <v>0.08</v>
      </c>
      <c r="G29" s="3"/>
      <c r="H29" s="3"/>
      <c r="I29" s="3"/>
      <c r="J29" s="3"/>
      <c r="K29" s="3"/>
      <c r="L29" s="2"/>
    </row>
    <row r="30" spans="1:12">
      <c r="A30" s="3"/>
      <c r="B30" s="250"/>
      <c r="C30" s="699"/>
      <c r="D30" s="698"/>
      <c r="E30" s="698"/>
      <c r="F30" s="698"/>
      <c r="G30" s="3"/>
      <c r="H30" s="3"/>
      <c r="I30" s="3"/>
      <c r="J30" s="3"/>
      <c r="K30" s="3"/>
      <c r="L30" s="2"/>
    </row>
    <row r="31" spans="1:12" ht="31.2">
      <c r="A31" s="3"/>
      <c r="B31" s="1786"/>
      <c r="C31" s="1787"/>
      <c r="D31" s="134" t="s">
        <v>887</v>
      </c>
      <c r="E31" s="134" t="s">
        <v>886</v>
      </c>
      <c r="F31" s="134" t="s">
        <v>885</v>
      </c>
      <c r="G31" s="3"/>
      <c r="H31" s="3"/>
      <c r="I31" s="3"/>
      <c r="J31" s="3"/>
      <c r="K31" s="3"/>
      <c r="L31" s="2"/>
    </row>
    <row r="32" spans="1:12" ht="15.75" customHeight="1">
      <c r="A32" s="3"/>
      <c r="B32" s="1786" t="s">
        <v>884</v>
      </c>
      <c r="C32" s="1787"/>
      <c r="D32" s="697">
        <v>0</v>
      </c>
      <c r="E32" s="697">
        <v>0.5</v>
      </c>
      <c r="F32" s="697">
        <v>0.25</v>
      </c>
      <c r="G32" s="3"/>
      <c r="H32" s="3"/>
      <c r="I32" s="3"/>
      <c r="J32" s="3"/>
      <c r="K32" s="3"/>
      <c r="L32" s="2"/>
    </row>
    <row r="33" spans="1:12" ht="15.75" customHeight="1">
      <c r="A33" s="3"/>
      <c r="B33" s="696"/>
      <c r="C33" s="696"/>
      <c r="D33" s="695"/>
      <c r="E33" s="694"/>
      <c r="F33" s="694"/>
      <c r="G33" s="3"/>
      <c r="H33" s="3"/>
      <c r="I33" s="3"/>
      <c r="J33" s="3"/>
      <c r="K33" s="3"/>
      <c r="L33" s="2"/>
    </row>
    <row r="34" spans="1:12" ht="15.75" customHeight="1">
      <c r="A34" s="674" t="s">
        <v>864</v>
      </c>
      <c r="B34" s="3" t="s">
        <v>883</v>
      </c>
      <c r="C34" s="3"/>
      <c r="D34" s="3"/>
      <c r="E34" s="44"/>
      <c r="F34" s="3"/>
      <c r="G34" s="3"/>
      <c r="H34" s="3"/>
      <c r="I34" s="3"/>
      <c r="J34" s="3"/>
      <c r="K34" s="3"/>
      <c r="L34" s="2"/>
    </row>
    <row r="35" spans="1:12" ht="15.75" customHeight="1">
      <c r="A35" s="674" t="s">
        <v>864</v>
      </c>
      <c r="B35" s="3" t="s">
        <v>865</v>
      </c>
      <c r="C35" s="3"/>
      <c r="D35" s="3"/>
      <c r="E35" s="3"/>
      <c r="F35" s="3"/>
      <c r="G35" s="3"/>
      <c r="H35" s="3"/>
      <c r="I35" s="3"/>
      <c r="J35" s="3"/>
      <c r="K35" s="74"/>
      <c r="L35" s="2"/>
    </row>
    <row r="36" spans="1:12" ht="15.75" customHeight="1">
      <c r="A36" s="674" t="s">
        <v>864</v>
      </c>
      <c r="B36" s="3" t="s">
        <v>882</v>
      </c>
      <c r="C36" s="3"/>
      <c r="D36" s="3"/>
      <c r="E36" s="11">
        <v>0.67400000000000004</v>
      </c>
      <c r="F36" s="3"/>
      <c r="G36" s="3"/>
      <c r="H36" s="3"/>
      <c r="I36" s="3"/>
      <c r="J36" s="3"/>
      <c r="K36" s="74"/>
      <c r="L36" s="2"/>
    </row>
    <row r="37" spans="1:12" ht="15.75" customHeight="1">
      <c r="A37" s="3"/>
      <c r="B37" s="3"/>
      <c r="C37" s="673"/>
      <c r="D37" s="3"/>
      <c r="E37" s="3"/>
      <c r="F37" s="3"/>
      <c r="G37" s="3"/>
      <c r="H37" s="3"/>
      <c r="I37" s="3"/>
      <c r="J37" s="3"/>
      <c r="K37" s="74"/>
      <c r="L37" s="3"/>
    </row>
    <row r="38" spans="1:12" ht="15.75" customHeight="1">
      <c r="A38" s="3" t="s">
        <v>7</v>
      </c>
      <c r="B38" s="3" t="s">
        <v>881</v>
      </c>
      <c r="C38" s="3"/>
      <c r="D38" s="3"/>
      <c r="E38" s="3"/>
      <c r="F38" s="3"/>
      <c r="G38" s="3"/>
      <c r="H38" s="3"/>
      <c r="I38" s="3"/>
      <c r="J38" s="3"/>
      <c r="K38" s="3"/>
      <c r="L38" s="2"/>
    </row>
    <row r="39" spans="1:12" ht="15.75" customHeight="1">
      <c r="A39" s="5"/>
      <c r="B39" s="5" t="s">
        <v>64</v>
      </c>
      <c r="C39" s="5"/>
      <c r="D39" s="4"/>
      <c r="E39" s="4"/>
      <c r="F39" s="4"/>
      <c r="G39" s="4"/>
      <c r="H39" s="3"/>
      <c r="I39" s="3"/>
      <c r="J39" s="2"/>
      <c r="K39" s="3"/>
      <c r="L39" s="2"/>
    </row>
    <row r="40" spans="1:12" ht="15.75" customHeight="1">
      <c r="A40"/>
      <c r="B40"/>
      <c r="C40"/>
      <c r="D40"/>
      <c r="E40"/>
      <c r="F40"/>
      <c r="G40"/>
      <c r="H40"/>
      <c r="I40"/>
      <c r="J40"/>
      <c r="K40"/>
      <c r="L40"/>
    </row>
    <row r="41" spans="1:12" ht="15.75" customHeight="1">
      <c r="A41"/>
      <c r="B41"/>
      <c r="C41" s="457"/>
      <c r="D41" s="457" t="s">
        <v>880</v>
      </c>
      <c r="E41" s="457" t="s">
        <v>879</v>
      </c>
      <c r="F41" s="457" t="s">
        <v>878</v>
      </c>
      <c r="G41"/>
      <c r="H41"/>
      <c r="I41"/>
      <c r="J41"/>
      <c r="K41"/>
      <c r="L41"/>
    </row>
    <row r="42" spans="1:12" ht="15.75" customHeight="1">
      <c r="A42"/>
      <c r="B42"/>
      <c r="C42" s="690" t="s">
        <v>877</v>
      </c>
      <c r="D42" s="693">
        <f>SQRT(D28^2*($C28/SUM($C28:$C29))^2+D29^2*($C29/SUM($C28:$C29))^2+2*D32*D28*D29*($C28/SUM($C28:$C29))*($C29/SUM($C28:$C29)))</f>
        <v>3.9395431207184417E-2</v>
      </c>
      <c r="E42" s="693">
        <f>SQRT(E28^2*($C28/SUM($C28:$C29))^2+E29^2*($C29/SUM($C28:$C29))^2+2*E32*E28*E29*($C28/SUM($C28:$C29))*($C29/SUM($C28:$C29)))</f>
        <v>3.7469987990390391E-2</v>
      </c>
      <c r="F42" s="693">
        <f>SQRT(F28^2*($C28/SUM($C28:$C29))^2+F29^2*($C29/SUM($C28:$C29))^2+2*F32*F28*F29*($C28/SUM($C28:$C29))*($C29/SUM($C28:$C29)))</f>
        <v>4.044749683231337E-2</v>
      </c>
      <c r="G42"/>
      <c r="H42"/>
      <c r="I42"/>
      <c r="J42"/>
      <c r="K42"/>
      <c r="L42"/>
    </row>
    <row r="43" spans="1:12" ht="15.75" customHeight="1">
      <c r="A43"/>
      <c r="B43"/>
      <c r="C43"/>
      <c r="D43" s="692"/>
      <c r="E43" s="692"/>
      <c r="F43" s="692"/>
      <c r="G43"/>
      <c r="H43"/>
      <c r="I43"/>
      <c r="J43"/>
      <c r="K43"/>
      <c r="L43"/>
    </row>
    <row r="44" spans="1:12" ht="15.75" customHeight="1">
      <c r="A44" s="3" t="s">
        <v>4</v>
      </c>
      <c r="B44" s="3" t="s">
        <v>876</v>
      </c>
      <c r="C44" s="3"/>
      <c r="D44" s="3"/>
      <c r="E44" s="3"/>
      <c r="F44" s="3"/>
      <c r="G44" s="3"/>
      <c r="H44" s="3"/>
      <c r="I44" s="3"/>
      <c r="J44" s="3"/>
      <c r="K44" s="3"/>
      <c r="L44" s="2"/>
    </row>
    <row r="45" spans="1:12" ht="15.75" customHeight="1">
      <c r="A45" s="3"/>
      <c r="B45" s="5" t="s">
        <v>64</v>
      </c>
      <c r="C45" s="72"/>
      <c r="D45" s="3"/>
      <c r="E45" s="3"/>
      <c r="F45" s="3"/>
      <c r="G45" s="3"/>
      <c r="H45" s="3"/>
      <c r="I45" s="3"/>
      <c r="J45" s="3"/>
      <c r="K45" s="3"/>
      <c r="L45" s="2"/>
    </row>
    <row r="46" spans="1:12" ht="15.75" customHeight="1">
      <c r="A46"/>
      <c r="B46"/>
      <c r="C46"/>
      <c r="D46"/>
      <c r="E46"/>
      <c r="F46"/>
      <c r="G46"/>
      <c r="H46"/>
      <c r="I46"/>
      <c r="J46"/>
      <c r="K46"/>
      <c r="L46"/>
    </row>
    <row r="47" spans="1:12" ht="15.75" customHeight="1">
      <c r="A47"/>
      <c r="B47" s="457" t="s">
        <v>875</v>
      </c>
      <c r="C47" s="691">
        <f>SQRT(D42^2+E42^2+F42^2)</f>
        <v>6.776429738438966E-2</v>
      </c>
      <c r="D47" s="86"/>
      <c r="E47"/>
      <c r="F47"/>
      <c r="G47"/>
      <c r="H47"/>
      <c r="I47"/>
      <c r="J47"/>
      <c r="K47"/>
      <c r="L47"/>
    </row>
    <row r="48" spans="1:12" ht="15.75" customHeight="1">
      <c r="A48"/>
      <c r="B48" s="690" t="s">
        <v>874</v>
      </c>
      <c r="C48" s="689">
        <f>SUM(C28:C29)*E36*C47</f>
        <v>685.09704655617941</v>
      </c>
      <c r="D48" s="86"/>
      <c r="E48"/>
      <c r="F48"/>
      <c r="G48"/>
      <c r="H48"/>
      <c r="I48"/>
      <c r="J48"/>
      <c r="K48"/>
      <c r="L48"/>
    </row>
    <row r="49" spans="1:12">
      <c r="A49"/>
      <c r="D49"/>
      <c r="E49"/>
      <c r="F49"/>
      <c r="G49"/>
      <c r="H49"/>
      <c r="I49"/>
      <c r="J49"/>
      <c r="K49"/>
      <c r="L49"/>
    </row>
    <row r="50" spans="1:12" ht="15.75" customHeight="1">
      <c r="A50"/>
      <c r="B50"/>
      <c r="C50"/>
      <c r="D50"/>
      <c r="E50"/>
      <c r="F50"/>
      <c r="G50"/>
      <c r="H50"/>
      <c r="I50"/>
      <c r="J50"/>
      <c r="K50"/>
      <c r="L50"/>
    </row>
    <row r="51" spans="1:12" ht="15.75" customHeight="1">
      <c r="A51"/>
      <c r="B51"/>
      <c r="C51"/>
      <c r="D51"/>
      <c r="E51"/>
      <c r="F51"/>
      <c r="G51"/>
      <c r="H51"/>
      <c r="I51"/>
      <c r="J51"/>
      <c r="K51"/>
      <c r="L51"/>
    </row>
    <row r="52" spans="1:12" ht="15.75" customHeight="1">
      <c r="A52"/>
      <c r="B52"/>
      <c r="C52"/>
      <c r="D52"/>
      <c r="E52"/>
      <c r="F52"/>
      <c r="G52"/>
      <c r="H52"/>
      <c r="I52"/>
      <c r="J52"/>
      <c r="K52"/>
      <c r="L52"/>
    </row>
    <row r="53" spans="1:12" ht="15.75" customHeight="1">
      <c r="A53"/>
      <c r="B53"/>
      <c r="C53"/>
      <c r="D53"/>
      <c r="E53"/>
      <c r="F53"/>
      <c r="G53"/>
      <c r="H53"/>
      <c r="I53"/>
      <c r="J53"/>
      <c r="K53"/>
      <c r="L53"/>
    </row>
    <row r="54" spans="1:12" ht="15.75" customHeight="1">
      <c r="A54"/>
      <c r="B54"/>
      <c r="C54"/>
      <c r="D54"/>
      <c r="E54"/>
      <c r="F54"/>
      <c r="G54"/>
      <c r="H54"/>
      <c r="I54"/>
      <c r="J54"/>
      <c r="K54"/>
      <c r="L54"/>
    </row>
    <row r="55" spans="1:12" ht="15.75" customHeight="1">
      <c r="A55"/>
      <c r="B55"/>
      <c r="C55"/>
      <c r="D55"/>
      <c r="E55"/>
      <c r="F55"/>
      <c r="G55"/>
      <c r="H55"/>
      <c r="I55"/>
      <c r="J55"/>
      <c r="K55"/>
      <c r="L55"/>
    </row>
    <row r="56" spans="1:12" ht="15.75" customHeight="1">
      <c r="A56"/>
      <c r="B56"/>
      <c r="C56"/>
      <c r="D56"/>
      <c r="E56"/>
      <c r="F56"/>
      <c r="G56"/>
      <c r="H56"/>
      <c r="I56"/>
      <c r="J56"/>
      <c r="K56"/>
      <c r="L56"/>
    </row>
    <row r="57" spans="1:12" ht="15.75" customHeight="1">
      <c r="A57"/>
      <c r="B57"/>
      <c r="C57"/>
      <c r="D57"/>
      <c r="E57"/>
      <c r="F57"/>
      <c r="G57"/>
      <c r="H57"/>
      <c r="I57"/>
      <c r="J57"/>
      <c r="K57"/>
      <c r="L57"/>
    </row>
    <row r="58" spans="1:12" ht="15.75" customHeight="1">
      <c r="A58"/>
      <c r="B58"/>
      <c r="C58"/>
      <c r="D58"/>
      <c r="E58"/>
      <c r="F58"/>
      <c r="G58"/>
      <c r="H58"/>
      <c r="I58"/>
      <c r="J58"/>
      <c r="K58"/>
      <c r="L58"/>
    </row>
    <row r="59" spans="1:12" ht="15.75" customHeight="1">
      <c r="A59"/>
      <c r="B59"/>
      <c r="C59"/>
      <c r="D59"/>
      <c r="E59"/>
      <c r="F59"/>
      <c r="G59"/>
      <c r="H59"/>
      <c r="I59"/>
      <c r="J59"/>
      <c r="K59"/>
      <c r="L59"/>
    </row>
    <row r="60" spans="1:12" ht="15.75" customHeight="1">
      <c r="A60"/>
      <c r="B60"/>
      <c r="C60"/>
      <c r="D60"/>
      <c r="E60"/>
      <c r="F60"/>
      <c r="G60"/>
      <c r="H60"/>
      <c r="I60"/>
      <c r="J60"/>
      <c r="K60"/>
      <c r="L60"/>
    </row>
    <row r="61" spans="1:12" ht="15.75" customHeight="1">
      <c r="A61"/>
      <c r="B61"/>
      <c r="C61"/>
      <c r="D61"/>
      <c r="E61"/>
      <c r="F61"/>
      <c r="G61"/>
      <c r="H61"/>
      <c r="I61"/>
      <c r="J61"/>
      <c r="K61"/>
      <c r="L61"/>
    </row>
    <row r="62" spans="1:12" ht="15.75" customHeight="1">
      <c r="A62"/>
      <c r="B62"/>
      <c r="C62"/>
      <c r="D62"/>
      <c r="E62"/>
      <c r="F62"/>
      <c r="G62"/>
      <c r="H62"/>
      <c r="I62"/>
      <c r="J62"/>
      <c r="K62"/>
      <c r="L62"/>
    </row>
    <row r="63" spans="1:12" ht="15.75" customHeight="1">
      <c r="A63"/>
      <c r="B63"/>
      <c r="C63"/>
      <c r="D63"/>
      <c r="E63"/>
      <c r="F63"/>
      <c r="G63"/>
      <c r="H63"/>
      <c r="I63"/>
      <c r="J63"/>
      <c r="K63"/>
      <c r="L63"/>
    </row>
    <row r="64" spans="1:12" ht="15.75" customHeight="1">
      <c r="A64"/>
      <c r="B64"/>
      <c r="C64"/>
      <c r="D64"/>
      <c r="E64"/>
      <c r="F64"/>
      <c r="G64"/>
      <c r="H64"/>
      <c r="I64"/>
      <c r="J64"/>
      <c r="K64"/>
      <c r="L64"/>
    </row>
    <row r="65" spans="1:12" ht="15.75" customHeight="1">
      <c r="A65"/>
      <c r="B65"/>
      <c r="C65"/>
      <c r="D65"/>
      <c r="E65"/>
      <c r="F65"/>
      <c r="G65"/>
      <c r="H65"/>
      <c r="I65"/>
      <c r="J65"/>
      <c r="K65"/>
      <c r="L65"/>
    </row>
    <row r="66" spans="1:12" ht="15.75" customHeight="1">
      <c r="A66"/>
      <c r="B66"/>
      <c r="C66"/>
      <c r="D66"/>
      <c r="E66"/>
      <c r="F66"/>
      <c r="G66"/>
      <c r="H66"/>
      <c r="I66"/>
      <c r="J66"/>
      <c r="K66"/>
      <c r="L66"/>
    </row>
    <row r="67" spans="1:12" ht="15.75" customHeight="1">
      <c r="A67"/>
      <c r="B67"/>
      <c r="C67"/>
      <c r="D67"/>
      <c r="E67"/>
      <c r="F67"/>
      <c r="G67"/>
      <c r="H67"/>
      <c r="I67"/>
      <c r="J67"/>
      <c r="K67"/>
      <c r="L67"/>
    </row>
    <row r="68" spans="1:12" ht="15.75" customHeight="1">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c r="J149"/>
      <c r="K149"/>
      <c r="L149"/>
    </row>
    <row r="150" spans="1:12">
      <c r="A150"/>
      <c r="B150"/>
      <c r="C150"/>
      <c r="D150"/>
      <c r="E150"/>
      <c r="F150"/>
      <c r="G150"/>
      <c r="H150"/>
      <c r="I150"/>
      <c r="J150"/>
      <c r="K150"/>
      <c r="L150"/>
    </row>
    <row r="151" spans="1:12">
      <c r="A151"/>
      <c r="B151"/>
      <c r="C151"/>
      <c r="D151"/>
      <c r="E151"/>
      <c r="F151"/>
      <c r="G151"/>
      <c r="H151"/>
      <c r="I151"/>
      <c r="J151"/>
      <c r="K151"/>
      <c r="L151"/>
    </row>
    <row r="152" spans="1:12">
      <c r="A152"/>
      <c r="B152"/>
      <c r="C152"/>
      <c r="D152"/>
      <c r="E152"/>
      <c r="F152"/>
      <c r="G152"/>
      <c r="H152"/>
      <c r="I152"/>
      <c r="J152"/>
      <c r="K152"/>
      <c r="L152"/>
    </row>
    <row r="153" spans="1:12">
      <c r="A153"/>
      <c r="B153"/>
      <c r="C153"/>
      <c r="D153"/>
      <c r="E153"/>
      <c r="F153"/>
      <c r="G153"/>
      <c r="H153"/>
      <c r="I153"/>
      <c r="J153"/>
      <c r="K153"/>
      <c r="L153"/>
    </row>
    <row r="154" spans="1:12">
      <c r="A154"/>
      <c r="B154"/>
      <c r="C154"/>
      <c r="D154"/>
      <c r="E154"/>
      <c r="F154"/>
      <c r="G154"/>
      <c r="H154"/>
      <c r="I154"/>
      <c r="J154"/>
      <c r="K154"/>
      <c r="L154"/>
    </row>
    <row r="155" spans="1:12">
      <c r="A155"/>
      <c r="B155"/>
      <c r="C155"/>
      <c r="D155"/>
      <c r="E155"/>
      <c r="F155"/>
      <c r="G155"/>
      <c r="H155"/>
      <c r="I155"/>
      <c r="J155"/>
      <c r="K155"/>
      <c r="L155"/>
    </row>
    <row r="156" spans="1:12">
      <c r="A156"/>
      <c r="B156"/>
      <c r="C156"/>
      <c r="D156"/>
      <c r="E156"/>
      <c r="F156"/>
      <c r="G156"/>
      <c r="H156"/>
      <c r="I156"/>
      <c r="J156"/>
      <c r="K156"/>
      <c r="L156"/>
    </row>
    <row r="157" spans="1:12">
      <c r="A157"/>
      <c r="B157"/>
      <c r="C157"/>
      <c r="D157"/>
      <c r="E157"/>
      <c r="F157"/>
      <c r="G157"/>
      <c r="H157"/>
      <c r="I157"/>
      <c r="J157"/>
      <c r="K157"/>
      <c r="L157"/>
    </row>
    <row r="158" spans="1:12">
      <c r="A158"/>
      <c r="B158"/>
      <c r="C158"/>
      <c r="D158"/>
      <c r="E158"/>
      <c r="F158"/>
      <c r="G158"/>
      <c r="H158"/>
      <c r="I158"/>
      <c r="J158"/>
      <c r="K158"/>
      <c r="L158"/>
    </row>
    <row r="159" spans="1:12">
      <c r="A159"/>
      <c r="B159"/>
      <c r="C159"/>
      <c r="D159"/>
      <c r="E159"/>
      <c r="F159"/>
      <c r="G159"/>
      <c r="H159"/>
      <c r="I159"/>
      <c r="J159"/>
      <c r="K159"/>
      <c r="L159"/>
    </row>
    <row r="160" spans="1:12">
      <c r="A160"/>
      <c r="B160"/>
      <c r="C160"/>
      <c r="D160"/>
      <c r="E160"/>
      <c r="F160"/>
      <c r="G160"/>
      <c r="H160"/>
      <c r="I160"/>
      <c r="J160"/>
      <c r="K160"/>
      <c r="L160"/>
    </row>
    <row r="161" spans="1:12">
      <c r="A161"/>
      <c r="B161"/>
      <c r="C161"/>
      <c r="D161"/>
      <c r="E161"/>
      <c r="F161"/>
      <c r="G161"/>
      <c r="H161"/>
      <c r="I161"/>
      <c r="J161"/>
      <c r="K161"/>
      <c r="L161"/>
    </row>
    <row r="162" spans="1:12">
      <c r="A162"/>
      <c r="B162"/>
      <c r="C162"/>
      <c r="D162"/>
      <c r="E162"/>
      <c r="F162"/>
      <c r="G162"/>
      <c r="H162"/>
      <c r="I162"/>
      <c r="J162"/>
      <c r="K162"/>
      <c r="L162"/>
    </row>
    <row r="163" spans="1:12">
      <c r="A163"/>
      <c r="B163"/>
      <c r="C163"/>
      <c r="D163"/>
      <c r="E163"/>
      <c r="F163"/>
      <c r="G163"/>
      <c r="H163"/>
      <c r="I163"/>
      <c r="J163"/>
      <c r="K163"/>
      <c r="L163"/>
    </row>
    <row r="164" spans="1:12">
      <c r="A164"/>
      <c r="B164"/>
      <c r="C164"/>
      <c r="D164"/>
      <c r="E164"/>
      <c r="F164"/>
      <c r="G164"/>
      <c r="H164"/>
      <c r="I164"/>
      <c r="J164"/>
      <c r="K164"/>
      <c r="L164"/>
    </row>
    <row r="165" spans="1:12">
      <c r="A165"/>
      <c r="B165"/>
      <c r="C165"/>
      <c r="D165"/>
      <c r="E165"/>
      <c r="F165"/>
      <c r="G165"/>
      <c r="H165"/>
      <c r="I165"/>
      <c r="J165"/>
      <c r="K165"/>
      <c r="L165"/>
    </row>
    <row r="166" spans="1:12">
      <c r="A166"/>
      <c r="B166"/>
      <c r="C166"/>
      <c r="D166"/>
      <c r="E166"/>
      <c r="F166"/>
      <c r="G166"/>
      <c r="H166"/>
      <c r="I166"/>
      <c r="J166"/>
      <c r="K166"/>
      <c r="L166"/>
    </row>
    <row r="167" spans="1:12">
      <c r="A167"/>
      <c r="B167"/>
      <c r="C167"/>
      <c r="D167"/>
      <c r="E167"/>
      <c r="F167"/>
      <c r="G167"/>
      <c r="H167"/>
      <c r="I167"/>
      <c r="J167"/>
      <c r="K167"/>
      <c r="L167"/>
    </row>
    <row r="168" spans="1:12">
      <c r="A168"/>
      <c r="B168"/>
      <c r="C168"/>
      <c r="D168"/>
      <c r="E168"/>
      <c r="F168"/>
      <c r="G168"/>
      <c r="H168"/>
      <c r="I168"/>
      <c r="J168"/>
      <c r="K168"/>
      <c r="L168"/>
    </row>
    <row r="169" spans="1:12">
      <c r="A169"/>
      <c r="B169"/>
      <c r="C169"/>
      <c r="D169"/>
      <c r="E169"/>
      <c r="F169"/>
      <c r="G169"/>
      <c r="H169"/>
      <c r="I169"/>
      <c r="J169"/>
      <c r="K169"/>
      <c r="L169"/>
    </row>
    <row r="170" spans="1:12">
      <c r="A170"/>
      <c r="B170"/>
      <c r="C170"/>
      <c r="D170"/>
      <c r="E170"/>
      <c r="F170"/>
      <c r="G170"/>
      <c r="H170"/>
      <c r="I170"/>
      <c r="J170"/>
      <c r="K170"/>
      <c r="L170"/>
    </row>
    <row r="171" spans="1:12">
      <c r="A171"/>
      <c r="B171"/>
      <c r="C171"/>
      <c r="D171"/>
      <c r="E171"/>
      <c r="F171"/>
      <c r="G171"/>
      <c r="H171"/>
      <c r="I171"/>
      <c r="J171"/>
      <c r="K171"/>
      <c r="L171"/>
    </row>
    <row r="172" spans="1:12">
      <c r="A172"/>
      <c r="B172"/>
      <c r="C172"/>
      <c r="D172"/>
      <c r="E172"/>
      <c r="F172"/>
      <c r="G172"/>
      <c r="H172"/>
      <c r="I172"/>
      <c r="J172"/>
      <c r="K172"/>
      <c r="L172"/>
    </row>
    <row r="173" spans="1:12">
      <c r="A173"/>
      <c r="B173"/>
      <c r="C173"/>
      <c r="D173"/>
      <c r="E173"/>
      <c r="F173"/>
      <c r="G173"/>
      <c r="H173"/>
      <c r="I173"/>
      <c r="J173"/>
      <c r="K173"/>
      <c r="L173"/>
    </row>
    <row r="174" spans="1:12">
      <c r="A174"/>
      <c r="B174"/>
      <c r="C174"/>
      <c r="D174"/>
      <c r="E174"/>
      <c r="F174"/>
      <c r="G174"/>
      <c r="H174"/>
      <c r="I174"/>
      <c r="J174"/>
      <c r="K174"/>
      <c r="L174"/>
    </row>
    <row r="175" spans="1:12">
      <c r="A175"/>
      <c r="B175"/>
      <c r="C175"/>
      <c r="D175"/>
      <c r="E175"/>
      <c r="F175"/>
      <c r="G175"/>
      <c r="H175"/>
      <c r="I175"/>
      <c r="J175"/>
      <c r="K175"/>
      <c r="L175"/>
    </row>
    <row r="176" spans="1:12">
      <c r="A176"/>
      <c r="B176"/>
      <c r="C176"/>
      <c r="D176"/>
      <c r="E176"/>
      <c r="F176"/>
      <c r="G176"/>
      <c r="H176"/>
      <c r="I176"/>
      <c r="J176"/>
      <c r="K176"/>
      <c r="L176"/>
    </row>
    <row r="177" spans="1:12">
      <c r="A177"/>
      <c r="B177"/>
      <c r="C177"/>
      <c r="D177"/>
      <c r="E177"/>
      <c r="F177"/>
      <c r="G177"/>
      <c r="H177"/>
      <c r="I177"/>
      <c r="J177"/>
      <c r="K177"/>
      <c r="L177"/>
    </row>
    <row r="178" spans="1:12">
      <c r="A178"/>
      <c r="B178"/>
      <c r="C178"/>
      <c r="D178"/>
      <c r="E178"/>
      <c r="F178"/>
      <c r="G178"/>
      <c r="H178"/>
      <c r="I178"/>
      <c r="J178"/>
      <c r="K178"/>
      <c r="L178"/>
    </row>
    <row r="179" spans="1:12">
      <c r="A179"/>
      <c r="B179"/>
      <c r="C179"/>
      <c r="D179"/>
      <c r="E179"/>
      <c r="F179"/>
      <c r="G179"/>
      <c r="H179"/>
      <c r="I179"/>
      <c r="J179"/>
      <c r="K179"/>
      <c r="L179"/>
    </row>
    <row r="180" spans="1:12">
      <c r="A180"/>
      <c r="B180"/>
      <c r="C180"/>
      <c r="D180"/>
      <c r="E180"/>
      <c r="F180"/>
      <c r="G180"/>
      <c r="H180"/>
      <c r="I180"/>
      <c r="J180"/>
      <c r="K180"/>
      <c r="L180"/>
    </row>
    <row r="181" spans="1:12">
      <c r="A181"/>
      <c r="B181"/>
      <c r="C181"/>
      <c r="D181"/>
      <c r="E181"/>
      <c r="F181"/>
      <c r="G181"/>
      <c r="H181"/>
      <c r="I181"/>
      <c r="J181"/>
      <c r="K181"/>
      <c r="L181"/>
    </row>
    <row r="182" spans="1:12">
      <c r="A182"/>
      <c r="B182"/>
      <c r="C182"/>
      <c r="D182"/>
      <c r="E182"/>
      <c r="F182"/>
      <c r="G182"/>
      <c r="H182"/>
      <c r="I182"/>
      <c r="J182"/>
      <c r="K182"/>
      <c r="L182"/>
    </row>
    <row r="183" spans="1:12">
      <c r="A183"/>
      <c r="B183"/>
      <c r="C183"/>
      <c r="D183"/>
      <c r="E183"/>
      <c r="F183"/>
      <c r="G183"/>
      <c r="H183"/>
      <c r="I183"/>
      <c r="J183"/>
      <c r="K183"/>
      <c r="L183"/>
    </row>
    <row r="184" spans="1:12">
      <c r="A184"/>
      <c r="B184"/>
      <c r="C184"/>
      <c r="D184"/>
      <c r="E184"/>
      <c r="F184"/>
      <c r="G184"/>
      <c r="H184"/>
      <c r="I184"/>
      <c r="J184"/>
      <c r="K184"/>
      <c r="L184"/>
    </row>
    <row r="185" spans="1:12">
      <c r="A185"/>
      <c r="B185"/>
      <c r="C185"/>
      <c r="D185"/>
      <c r="E185"/>
      <c r="F185"/>
      <c r="G185"/>
      <c r="H185"/>
      <c r="I185"/>
      <c r="J185"/>
      <c r="K185"/>
      <c r="L185"/>
    </row>
    <row r="186" spans="1:12">
      <c r="A186"/>
      <c r="B186"/>
      <c r="C186"/>
      <c r="D186"/>
      <c r="E186"/>
      <c r="F186"/>
      <c r="G186"/>
      <c r="H186"/>
      <c r="I186"/>
      <c r="J186"/>
      <c r="K186"/>
      <c r="L186"/>
    </row>
    <row r="187" spans="1:12">
      <c r="A187"/>
      <c r="B187"/>
      <c r="C187"/>
      <c r="D187"/>
      <c r="E187"/>
      <c r="F187"/>
      <c r="G187"/>
      <c r="H187"/>
      <c r="I187"/>
      <c r="J187"/>
      <c r="K187"/>
      <c r="L187"/>
    </row>
    <row r="188" spans="1:12">
      <c r="A188"/>
      <c r="B188"/>
      <c r="C188"/>
      <c r="D188"/>
      <c r="E188"/>
      <c r="F188"/>
      <c r="G188"/>
      <c r="H188"/>
      <c r="I188"/>
      <c r="J188"/>
      <c r="K188"/>
      <c r="L188"/>
    </row>
    <row r="189" spans="1:12">
      <c r="A189"/>
      <c r="B189"/>
      <c r="C189"/>
      <c r="D189"/>
      <c r="E189"/>
      <c r="F189"/>
      <c r="G189"/>
      <c r="H189"/>
      <c r="I189"/>
      <c r="J189"/>
      <c r="K189"/>
      <c r="L189"/>
    </row>
    <row r="190" spans="1:12">
      <c r="A190"/>
      <c r="B190"/>
      <c r="C190"/>
      <c r="D190"/>
      <c r="E190"/>
      <c r="F190"/>
      <c r="G190"/>
      <c r="H190"/>
      <c r="I190"/>
      <c r="J190"/>
      <c r="K190"/>
      <c r="L190"/>
    </row>
    <row r="191" spans="1:12">
      <c r="A191"/>
      <c r="B191"/>
      <c r="C191"/>
      <c r="D191"/>
      <c r="E191"/>
      <c r="F191"/>
      <c r="G191"/>
      <c r="H191"/>
      <c r="I191"/>
      <c r="J191"/>
      <c r="K191"/>
      <c r="L191"/>
    </row>
    <row r="192" spans="1:12">
      <c r="A192"/>
      <c r="B192"/>
      <c r="C192"/>
      <c r="D192"/>
      <c r="E192"/>
      <c r="F192"/>
      <c r="G192"/>
      <c r="H192"/>
      <c r="I192"/>
      <c r="J192"/>
      <c r="K192"/>
      <c r="L192"/>
    </row>
    <row r="193" spans="1:12">
      <c r="A193"/>
      <c r="B193"/>
      <c r="C193"/>
      <c r="D193"/>
      <c r="E193"/>
      <c r="F193"/>
      <c r="G193"/>
      <c r="H193"/>
      <c r="I193"/>
      <c r="J193"/>
      <c r="K193"/>
      <c r="L193"/>
    </row>
    <row r="194" spans="1:12">
      <c r="A194"/>
      <c r="B194"/>
      <c r="C194"/>
      <c r="D194"/>
      <c r="E194"/>
      <c r="F194"/>
      <c r="G194"/>
      <c r="H194"/>
      <c r="I194"/>
      <c r="J194"/>
      <c r="K194"/>
      <c r="L194"/>
    </row>
    <row r="195" spans="1:12">
      <c r="A195"/>
      <c r="B195"/>
      <c r="C195"/>
      <c r="D195"/>
      <c r="E195"/>
      <c r="F195"/>
      <c r="G195"/>
      <c r="H195"/>
      <c r="I195"/>
      <c r="J195"/>
      <c r="K195"/>
      <c r="L195"/>
    </row>
    <row r="196" spans="1:12">
      <c r="A196"/>
      <c r="B196"/>
      <c r="C196"/>
      <c r="D196"/>
      <c r="E196"/>
      <c r="F196"/>
      <c r="G196"/>
      <c r="H196"/>
      <c r="I196"/>
      <c r="J196"/>
      <c r="K196"/>
      <c r="L196"/>
    </row>
    <row r="197" spans="1:12">
      <c r="A197"/>
      <c r="B197"/>
      <c r="C197"/>
      <c r="D197"/>
      <c r="E197"/>
      <c r="F197"/>
      <c r="G197"/>
      <c r="H197"/>
      <c r="I197"/>
      <c r="J197"/>
      <c r="K197"/>
      <c r="L197"/>
    </row>
    <row r="198" spans="1:12">
      <c r="A198"/>
      <c r="B198"/>
      <c r="C198"/>
      <c r="D198"/>
      <c r="E198"/>
      <c r="F198"/>
      <c r="G198"/>
      <c r="H198"/>
      <c r="I198"/>
      <c r="J198"/>
      <c r="K198"/>
      <c r="L198"/>
    </row>
    <row r="199" spans="1:12">
      <c r="A199"/>
      <c r="B199"/>
      <c r="C199"/>
      <c r="D199"/>
      <c r="E199"/>
      <c r="F199"/>
      <c r="G199"/>
      <c r="H199"/>
      <c r="I199"/>
      <c r="J199"/>
      <c r="K199"/>
      <c r="L199"/>
    </row>
    <row r="200" spans="1:12">
      <c r="A200"/>
      <c r="B200"/>
      <c r="C200"/>
      <c r="D200"/>
      <c r="E200"/>
      <c r="F200"/>
      <c r="G200"/>
      <c r="H200"/>
      <c r="I200"/>
      <c r="J200"/>
      <c r="K200"/>
      <c r="L200"/>
    </row>
    <row r="201" spans="1:12">
      <c r="A201"/>
      <c r="B201"/>
      <c r="C201"/>
      <c r="D201"/>
      <c r="E201"/>
      <c r="F201"/>
      <c r="G201"/>
      <c r="H201"/>
      <c r="I201"/>
      <c r="J201"/>
      <c r="K201"/>
      <c r="L201"/>
    </row>
    <row r="202" spans="1:12">
      <c r="A202"/>
      <c r="B202"/>
      <c r="C202"/>
      <c r="D202"/>
      <c r="E202"/>
      <c r="F202"/>
      <c r="G202"/>
      <c r="H202"/>
      <c r="I202"/>
      <c r="J202"/>
      <c r="K202"/>
      <c r="L202"/>
    </row>
    <row r="203" spans="1:12">
      <c r="A203"/>
      <c r="B203"/>
      <c r="C203"/>
      <c r="D203"/>
      <c r="E203"/>
      <c r="F203"/>
      <c r="G203"/>
      <c r="H203"/>
      <c r="I203"/>
      <c r="J203"/>
      <c r="K203"/>
      <c r="L203"/>
    </row>
    <row r="204" spans="1:12">
      <c r="A204"/>
      <c r="B204"/>
      <c r="C204"/>
      <c r="D204"/>
      <c r="E204"/>
      <c r="F204"/>
      <c r="G204"/>
      <c r="H204"/>
      <c r="I204"/>
      <c r="J204"/>
      <c r="K204"/>
      <c r="L204"/>
    </row>
    <row r="205" spans="1:12">
      <c r="A205"/>
      <c r="B205"/>
      <c r="C205"/>
      <c r="D205"/>
      <c r="E205"/>
      <c r="F205"/>
      <c r="G205"/>
      <c r="H205"/>
      <c r="I205"/>
      <c r="J205"/>
      <c r="K205"/>
      <c r="L205"/>
    </row>
    <row r="206" spans="1:12">
      <c r="A206"/>
      <c r="B206"/>
      <c r="C206"/>
      <c r="D206"/>
      <c r="E206"/>
      <c r="F206"/>
      <c r="G206"/>
      <c r="H206"/>
      <c r="I206"/>
      <c r="J206"/>
      <c r="K206"/>
      <c r="L206"/>
    </row>
    <row r="207" spans="1:12">
      <c r="A207"/>
      <c r="B207"/>
      <c r="C207"/>
      <c r="D207"/>
      <c r="E207"/>
      <c r="F207"/>
      <c r="G207"/>
      <c r="H207"/>
      <c r="I207"/>
      <c r="J207"/>
      <c r="K207"/>
      <c r="L207"/>
    </row>
    <row r="208" spans="1:12">
      <c r="A208"/>
      <c r="B208"/>
      <c r="C208"/>
      <c r="D208"/>
      <c r="E208"/>
      <c r="F208"/>
      <c r="G208"/>
      <c r="H208"/>
      <c r="I208"/>
      <c r="J208"/>
      <c r="K208"/>
      <c r="L208"/>
    </row>
    <row r="209" spans="1:12">
      <c r="A209"/>
      <c r="B209"/>
      <c r="C209"/>
      <c r="D209"/>
      <c r="E209"/>
      <c r="F209"/>
      <c r="G209"/>
      <c r="H209"/>
      <c r="I209"/>
      <c r="J209"/>
      <c r="K209"/>
      <c r="L209"/>
    </row>
    <row r="210" spans="1:12">
      <c r="A210"/>
      <c r="B210"/>
      <c r="C210"/>
      <c r="D210"/>
      <c r="E210"/>
      <c r="F210"/>
      <c r="G210"/>
      <c r="H210"/>
      <c r="I210"/>
      <c r="J210"/>
      <c r="K210"/>
      <c r="L210"/>
    </row>
    <row r="211" spans="1:12">
      <c r="A211"/>
      <c r="B211"/>
      <c r="C211"/>
      <c r="D211"/>
      <c r="E211"/>
      <c r="F211"/>
      <c r="G211"/>
      <c r="H211"/>
      <c r="I211"/>
      <c r="J211"/>
      <c r="K211"/>
      <c r="L211"/>
    </row>
    <row r="212" spans="1:12">
      <c r="A212"/>
      <c r="B212"/>
      <c r="C212"/>
      <c r="D212"/>
      <c r="E212"/>
      <c r="F212"/>
      <c r="G212"/>
      <c r="H212"/>
      <c r="I212"/>
      <c r="J212"/>
      <c r="K212"/>
      <c r="L212"/>
    </row>
    <row r="213" spans="1:12">
      <c r="A213"/>
      <c r="B213"/>
      <c r="C213"/>
      <c r="D213"/>
      <c r="E213"/>
      <c r="F213"/>
      <c r="G213"/>
      <c r="H213"/>
      <c r="I213"/>
      <c r="J213"/>
      <c r="K213"/>
      <c r="L213"/>
    </row>
    <row r="214" spans="1:12">
      <c r="A214"/>
      <c r="B214"/>
      <c r="C214"/>
      <c r="D214"/>
      <c r="E214"/>
      <c r="F214"/>
      <c r="G214"/>
      <c r="H214"/>
      <c r="I214"/>
      <c r="J214"/>
      <c r="K214"/>
      <c r="L214"/>
    </row>
    <row r="215" spans="1:12">
      <c r="A215"/>
      <c r="B215"/>
      <c r="C215"/>
      <c r="D215"/>
      <c r="E215"/>
      <c r="F215"/>
      <c r="G215"/>
      <c r="H215"/>
      <c r="I215"/>
      <c r="J215"/>
      <c r="K215"/>
      <c r="L215"/>
    </row>
    <row r="216" spans="1:12">
      <c r="A216"/>
      <c r="B216"/>
      <c r="C216"/>
      <c r="D216"/>
      <c r="E216"/>
      <c r="F216"/>
      <c r="G216"/>
      <c r="H216"/>
      <c r="I216"/>
      <c r="J216"/>
      <c r="K216"/>
      <c r="L216"/>
    </row>
    <row r="217" spans="1:12">
      <c r="A217"/>
      <c r="B217"/>
      <c r="C217"/>
      <c r="D217"/>
      <c r="E217"/>
      <c r="F217"/>
      <c r="G217"/>
      <c r="H217"/>
      <c r="I217"/>
      <c r="J217"/>
      <c r="K217"/>
      <c r="L217"/>
    </row>
    <row r="218" spans="1:12">
      <c r="A218"/>
      <c r="B218"/>
      <c r="C218"/>
      <c r="D218"/>
      <c r="E218"/>
      <c r="F218"/>
      <c r="G218"/>
      <c r="H218"/>
      <c r="I218"/>
      <c r="J218"/>
      <c r="K218"/>
      <c r="L218"/>
    </row>
    <row r="219" spans="1:12">
      <c r="A219"/>
      <c r="B219"/>
      <c r="C219"/>
      <c r="D219"/>
      <c r="E219"/>
      <c r="F219"/>
      <c r="G219"/>
      <c r="H219"/>
      <c r="I219"/>
      <c r="J219"/>
      <c r="K219"/>
      <c r="L219"/>
    </row>
    <row r="220" spans="1:12">
      <c r="A220"/>
      <c r="B220"/>
      <c r="C220"/>
      <c r="D220"/>
      <c r="E220"/>
      <c r="F220"/>
      <c r="G220"/>
      <c r="H220"/>
      <c r="I220"/>
      <c r="J220"/>
      <c r="K220"/>
      <c r="L220"/>
    </row>
    <row r="221" spans="1:12">
      <c r="A221"/>
      <c r="B221"/>
      <c r="C221"/>
      <c r="D221"/>
      <c r="E221"/>
      <c r="F221"/>
      <c r="G221"/>
      <c r="H221"/>
      <c r="I221"/>
      <c r="J221"/>
      <c r="K221"/>
      <c r="L221"/>
    </row>
    <row r="222" spans="1:12">
      <c r="A222"/>
      <c r="B222"/>
      <c r="C222"/>
      <c r="D222"/>
      <c r="E222"/>
      <c r="F222"/>
      <c r="G222"/>
      <c r="H222"/>
      <c r="I222"/>
      <c r="J222"/>
      <c r="K222"/>
      <c r="L222"/>
    </row>
    <row r="223" spans="1:12">
      <c r="A223"/>
      <c r="B223"/>
      <c r="C223"/>
      <c r="D223"/>
      <c r="E223"/>
      <c r="F223"/>
      <c r="G223"/>
      <c r="H223"/>
      <c r="I223"/>
      <c r="J223"/>
      <c r="K223"/>
      <c r="L223"/>
    </row>
    <row r="224" spans="1:12">
      <c r="A224"/>
      <c r="B224"/>
      <c r="C224"/>
      <c r="D224"/>
      <c r="E224"/>
      <c r="F224"/>
      <c r="G224"/>
      <c r="H224"/>
      <c r="I224"/>
      <c r="J224"/>
      <c r="K224"/>
      <c r="L224"/>
    </row>
    <row r="225" spans="1:12">
      <c r="A225"/>
      <c r="B225"/>
      <c r="C225"/>
      <c r="D225"/>
      <c r="E225"/>
      <c r="F225"/>
      <c r="G225"/>
      <c r="H225"/>
      <c r="I225"/>
      <c r="J225"/>
      <c r="K225"/>
      <c r="L225"/>
    </row>
    <row r="226" spans="1:12">
      <c r="A226"/>
      <c r="B226"/>
      <c r="C226"/>
      <c r="D226"/>
      <c r="E226"/>
      <c r="F226"/>
      <c r="G226"/>
      <c r="H226"/>
      <c r="I226"/>
      <c r="J226"/>
      <c r="K226"/>
      <c r="L226"/>
    </row>
    <row r="227" spans="1:12">
      <c r="A227"/>
      <c r="B227"/>
      <c r="C227"/>
      <c r="D227"/>
      <c r="E227"/>
      <c r="F227"/>
      <c r="G227"/>
      <c r="H227"/>
      <c r="I227"/>
      <c r="J227"/>
      <c r="K227"/>
      <c r="L227"/>
    </row>
    <row r="228" spans="1:12">
      <c r="A228"/>
      <c r="B228"/>
      <c r="C228"/>
      <c r="D228"/>
      <c r="E228"/>
      <c r="F228"/>
      <c r="G228"/>
      <c r="H228"/>
      <c r="I228"/>
      <c r="J228"/>
      <c r="K228"/>
      <c r="L228"/>
    </row>
    <row r="229" spans="1:12">
      <c r="A229"/>
      <c r="B229"/>
      <c r="C229"/>
      <c r="D229"/>
      <c r="E229"/>
      <c r="F229"/>
      <c r="G229"/>
      <c r="H229"/>
      <c r="I229"/>
      <c r="J229"/>
      <c r="K229"/>
      <c r="L229"/>
    </row>
    <row r="230" spans="1:12">
      <c r="A230"/>
      <c r="B230"/>
      <c r="C230"/>
      <c r="D230"/>
      <c r="E230"/>
      <c r="F230"/>
      <c r="G230"/>
      <c r="H230"/>
      <c r="I230"/>
      <c r="J230"/>
      <c r="K230"/>
      <c r="L230"/>
    </row>
    <row r="231" spans="1:12">
      <c r="A231"/>
      <c r="B231"/>
      <c r="C231"/>
      <c r="D231"/>
      <c r="E231"/>
      <c r="F231"/>
      <c r="G231"/>
      <c r="H231"/>
      <c r="I231"/>
      <c r="J231"/>
      <c r="K231"/>
      <c r="L231"/>
    </row>
    <row r="232" spans="1:12">
      <c r="A232"/>
      <c r="B232"/>
      <c r="C232"/>
      <c r="D232"/>
      <c r="E232"/>
      <c r="F232"/>
      <c r="G232"/>
      <c r="H232"/>
      <c r="I232"/>
      <c r="J232"/>
      <c r="K232"/>
      <c r="L232"/>
    </row>
    <row r="233" spans="1:12">
      <c r="A233"/>
      <c r="B233"/>
      <c r="C233"/>
      <c r="D233"/>
      <c r="E233"/>
      <c r="F233"/>
      <c r="G233"/>
      <c r="H233"/>
      <c r="I233"/>
      <c r="J233"/>
      <c r="K233"/>
      <c r="L233"/>
    </row>
    <row r="234" spans="1:12">
      <c r="A234"/>
      <c r="B234"/>
      <c r="C234"/>
      <c r="D234"/>
      <c r="E234"/>
      <c r="F234"/>
      <c r="G234"/>
      <c r="H234"/>
      <c r="I234"/>
      <c r="J234"/>
      <c r="K234"/>
      <c r="L234"/>
    </row>
    <row r="235" spans="1:12">
      <c r="A235"/>
      <c r="B235"/>
      <c r="C235"/>
      <c r="D235"/>
      <c r="E235"/>
      <c r="F235"/>
      <c r="G235"/>
      <c r="H235"/>
      <c r="I235"/>
      <c r="J235"/>
      <c r="K235"/>
      <c r="L235"/>
    </row>
    <row r="236" spans="1:12">
      <c r="A236"/>
      <c r="B236"/>
      <c r="C236"/>
      <c r="D236"/>
      <c r="E236"/>
      <c r="F236"/>
      <c r="G236"/>
      <c r="H236"/>
      <c r="I236"/>
      <c r="J236"/>
      <c r="K236"/>
      <c r="L236"/>
    </row>
    <row r="237" spans="1:12">
      <c r="A237"/>
      <c r="B237"/>
      <c r="C237"/>
      <c r="D237"/>
      <c r="E237"/>
      <c r="F237"/>
      <c r="G237"/>
      <c r="H237"/>
      <c r="I237"/>
      <c r="J237"/>
      <c r="K237"/>
      <c r="L237"/>
    </row>
    <row r="238" spans="1:12">
      <c r="A238"/>
      <c r="B238"/>
      <c r="C238"/>
      <c r="D238"/>
      <c r="E238"/>
      <c r="F238"/>
      <c r="G238"/>
      <c r="H238"/>
      <c r="I238"/>
      <c r="J238"/>
      <c r="K238"/>
      <c r="L238"/>
    </row>
    <row r="239" spans="1:12">
      <c r="A239"/>
      <c r="B239"/>
      <c r="C239"/>
      <c r="D239"/>
      <c r="E239"/>
      <c r="F239"/>
      <c r="G239"/>
      <c r="H239"/>
      <c r="I239"/>
      <c r="J239"/>
      <c r="K239"/>
      <c r="L239"/>
    </row>
    <row r="240" spans="1:12">
      <c r="A240"/>
      <c r="B240"/>
      <c r="C240"/>
      <c r="D240"/>
      <c r="E240"/>
      <c r="F240"/>
      <c r="G240"/>
      <c r="H240"/>
      <c r="I240"/>
      <c r="J240"/>
      <c r="K240"/>
      <c r="L240"/>
    </row>
    <row r="241" spans="1:12">
      <c r="A241"/>
      <c r="B241"/>
      <c r="C241"/>
      <c r="D241"/>
      <c r="E241"/>
      <c r="F241"/>
      <c r="G241"/>
      <c r="H241"/>
      <c r="I241"/>
      <c r="J241"/>
      <c r="K241"/>
      <c r="L241"/>
    </row>
    <row r="242" spans="1:12">
      <c r="A242"/>
      <c r="B242"/>
      <c r="C242"/>
      <c r="D242"/>
      <c r="E242"/>
      <c r="F242"/>
      <c r="G242"/>
      <c r="H242"/>
      <c r="I242"/>
      <c r="J242"/>
      <c r="K242"/>
      <c r="L242"/>
    </row>
    <row r="243" spans="1:12">
      <c r="A243"/>
      <c r="B243"/>
      <c r="C243"/>
      <c r="D243"/>
      <c r="E243"/>
      <c r="F243"/>
      <c r="G243"/>
      <c r="H243"/>
      <c r="I243"/>
      <c r="J243"/>
      <c r="K243"/>
      <c r="L243"/>
    </row>
    <row r="244" spans="1:12">
      <c r="A244"/>
      <c r="B244"/>
      <c r="C244"/>
      <c r="D244"/>
      <c r="E244"/>
      <c r="F244"/>
      <c r="G244"/>
      <c r="H244"/>
      <c r="I244"/>
      <c r="J244"/>
      <c r="K244"/>
      <c r="L244"/>
    </row>
    <row r="245" spans="1:12">
      <c r="A245"/>
      <c r="B245"/>
      <c r="C245"/>
      <c r="D245"/>
      <c r="E245"/>
      <c r="F245"/>
      <c r="G245"/>
      <c r="H245"/>
      <c r="I245"/>
      <c r="J245"/>
      <c r="K245"/>
      <c r="L245"/>
    </row>
    <row r="246" spans="1:12">
      <c r="A246"/>
      <c r="B246"/>
      <c r="C246"/>
      <c r="D246"/>
      <c r="E246"/>
      <c r="F246"/>
      <c r="G246"/>
      <c r="H246"/>
      <c r="I246"/>
      <c r="J246"/>
      <c r="K246"/>
      <c r="L246"/>
    </row>
    <row r="247" spans="1:12">
      <c r="A247"/>
      <c r="B247"/>
      <c r="C247"/>
      <c r="D247"/>
      <c r="E247"/>
      <c r="F247"/>
      <c r="G247"/>
      <c r="H247"/>
      <c r="I247"/>
      <c r="J247"/>
      <c r="K247"/>
      <c r="L247"/>
    </row>
    <row r="248" spans="1:12">
      <c r="A248"/>
      <c r="B248"/>
      <c r="C248"/>
      <c r="D248"/>
      <c r="E248"/>
      <c r="F248"/>
      <c r="G248"/>
      <c r="H248"/>
      <c r="I248"/>
      <c r="J248"/>
      <c r="K248"/>
      <c r="L248"/>
    </row>
    <row r="249" spans="1:12">
      <c r="A249"/>
      <c r="B249"/>
      <c r="C249"/>
      <c r="D249"/>
      <c r="E249"/>
      <c r="F249"/>
      <c r="G249"/>
      <c r="H249"/>
      <c r="I249"/>
      <c r="J249"/>
      <c r="K249"/>
      <c r="L249"/>
    </row>
    <row r="250" spans="1:12">
      <c r="A250"/>
      <c r="B250"/>
      <c r="C250"/>
      <c r="D250"/>
      <c r="E250"/>
      <c r="F250"/>
      <c r="G250"/>
      <c r="H250"/>
      <c r="I250"/>
      <c r="J250"/>
      <c r="K250"/>
      <c r="L250"/>
    </row>
    <row r="251" spans="1:12">
      <c r="A251"/>
      <c r="B251"/>
      <c r="C251"/>
      <c r="D251"/>
      <c r="E251"/>
      <c r="F251"/>
      <c r="G251"/>
      <c r="H251"/>
      <c r="I251"/>
      <c r="J251"/>
      <c r="K251"/>
      <c r="L251"/>
    </row>
    <row r="252" spans="1:12">
      <c r="A252"/>
      <c r="B252"/>
      <c r="C252"/>
      <c r="D252"/>
      <c r="E252"/>
      <c r="F252"/>
      <c r="G252"/>
      <c r="H252"/>
      <c r="I252"/>
      <c r="J252"/>
      <c r="K252"/>
      <c r="L252"/>
    </row>
    <row r="253" spans="1:12">
      <c r="A253"/>
      <c r="B253"/>
      <c r="C253"/>
      <c r="D253"/>
      <c r="E253"/>
      <c r="F253"/>
      <c r="G253"/>
      <c r="H253"/>
      <c r="I253"/>
      <c r="J253"/>
      <c r="K253"/>
      <c r="L253"/>
    </row>
    <row r="254" spans="1:12">
      <c r="A254"/>
      <c r="B254"/>
      <c r="C254"/>
      <c r="D254"/>
      <c r="E254"/>
      <c r="F254"/>
      <c r="G254"/>
      <c r="H254"/>
      <c r="I254"/>
      <c r="J254"/>
      <c r="K254"/>
      <c r="L254"/>
    </row>
    <row r="255" spans="1:12">
      <c r="A255"/>
      <c r="B255"/>
      <c r="C255"/>
      <c r="D255"/>
      <c r="E255"/>
      <c r="F255"/>
      <c r="G255"/>
      <c r="H255"/>
      <c r="I255"/>
      <c r="J255"/>
      <c r="K255"/>
      <c r="L255"/>
    </row>
    <row r="256" spans="1:12">
      <c r="A256"/>
      <c r="B256"/>
      <c r="C256"/>
      <c r="D256"/>
      <c r="E256"/>
      <c r="F256"/>
      <c r="G256"/>
      <c r="H256"/>
      <c r="I256"/>
      <c r="J256"/>
      <c r="K256"/>
      <c r="L256"/>
    </row>
    <row r="257" spans="1:12">
      <c r="A257"/>
      <c r="B257"/>
      <c r="C257"/>
      <c r="D257"/>
      <c r="E257"/>
      <c r="F257"/>
      <c r="G257"/>
      <c r="H257"/>
      <c r="I257"/>
      <c r="J257"/>
      <c r="K257"/>
      <c r="L257"/>
    </row>
    <row r="258" spans="1:12">
      <c r="A258"/>
      <c r="B258"/>
      <c r="C258"/>
      <c r="D258"/>
      <c r="E258"/>
      <c r="F258"/>
      <c r="G258"/>
      <c r="H258"/>
      <c r="I258"/>
      <c r="J258"/>
      <c r="K258"/>
      <c r="L258"/>
    </row>
    <row r="259" spans="1:12">
      <c r="A259"/>
      <c r="B259"/>
      <c r="C259"/>
      <c r="D259"/>
      <c r="E259"/>
      <c r="F259"/>
      <c r="G259"/>
      <c r="H259"/>
      <c r="I259"/>
      <c r="J259"/>
      <c r="K259"/>
      <c r="L259"/>
    </row>
    <row r="260" spans="1:12">
      <c r="A260"/>
      <c r="B260"/>
      <c r="C260"/>
      <c r="D260"/>
      <c r="E260"/>
      <c r="F260"/>
      <c r="G260"/>
      <c r="H260"/>
      <c r="I260"/>
      <c r="J260"/>
      <c r="K260"/>
      <c r="L260"/>
    </row>
    <row r="261" spans="1:12">
      <c r="A261"/>
      <c r="B261"/>
      <c r="C261"/>
      <c r="D261"/>
      <c r="E261"/>
      <c r="F261"/>
      <c r="G261"/>
      <c r="H261"/>
      <c r="I261"/>
      <c r="J261"/>
      <c r="K261"/>
      <c r="L261"/>
    </row>
    <row r="262" spans="1:12">
      <c r="A262"/>
      <c r="B262"/>
      <c r="C262"/>
      <c r="D262"/>
      <c r="E262"/>
      <c r="F262"/>
      <c r="G262"/>
      <c r="H262"/>
      <c r="I262"/>
      <c r="J262"/>
      <c r="K262"/>
      <c r="L262"/>
    </row>
    <row r="263" spans="1:12">
      <c r="A263"/>
      <c r="B263"/>
      <c r="C263"/>
      <c r="D263"/>
      <c r="E263"/>
      <c r="F263"/>
      <c r="G263"/>
      <c r="H263"/>
      <c r="I263"/>
      <c r="J263"/>
      <c r="K263"/>
      <c r="L263"/>
    </row>
    <row r="264" spans="1:12">
      <c r="A264"/>
      <c r="B264"/>
      <c r="C264"/>
      <c r="D264"/>
      <c r="E264"/>
      <c r="F264"/>
      <c r="G264"/>
      <c r="H264"/>
      <c r="I264"/>
      <c r="J264"/>
      <c r="K264"/>
      <c r="L264"/>
    </row>
    <row r="265" spans="1:12">
      <c r="A265"/>
      <c r="B265"/>
      <c r="C265"/>
      <c r="D265"/>
      <c r="E265"/>
      <c r="F265"/>
      <c r="G265"/>
      <c r="H265"/>
      <c r="I265"/>
      <c r="J265"/>
      <c r="K265"/>
      <c r="L265"/>
    </row>
    <row r="266" spans="1:12">
      <c r="A266"/>
      <c r="B266"/>
      <c r="C266"/>
      <c r="D266"/>
      <c r="E266"/>
      <c r="F266"/>
      <c r="G266"/>
      <c r="H266"/>
      <c r="I266"/>
      <c r="J266"/>
      <c r="K266"/>
      <c r="L266"/>
    </row>
    <row r="267" spans="1:12">
      <c r="A267"/>
      <c r="B267"/>
      <c r="C267"/>
      <c r="D267"/>
      <c r="E267"/>
      <c r="F267"/>
      <c r="G267"/>
      <c r="H267"/>
      <c r="I267"/>
      <c r="J267"/>
      <c r="K267"/>
      <c r="L267"/>
    </row>
    <row r="268" spans="1:12">
      <c r="A268"/>
      <c r="B268"/>
      <c r="C268"/>
      <c r="D268"/>
      <c r="E268"/>
      <c r="F268"/>
      <c r="G268"/>
      <c r="H268"/>
      <c r="I268"/>
      <c r="J268"/>
      <c r="K268"/>
      <c r="L268"/>
    </row>
    <row r="269" spans="1:12">
      <c r="A269"/>
      <c r="B269"/>
      <c r="C269"/>
      <c r="D269"/>
      <c r="E269"/>
      <c r="F269"/>
      <c r="G269"/>
      <c r="H269"/>
      <c r="I269"/>
      <c r="J269"/>
      <c r="K269"/>
      <c r="L269"/>
    </row>
    <row r="270" spans="1:12">
      <c r="A270"/>
      <c r="B270"/>
      <c r="C270"/>
      <c r="D270"/>
      <c r="E270"/>
      <c r="F270"/>
      <c r="G270"/>
      <c r="H270"/>
      <c r="I270"/>
      <c r="J270"/>
      <c r="K270"/>
      <c r="L270"/>
    </row>
    <row r="271" spans="1:12">
      <c r="A271"/>
      <c r="B271"/>
      <c r="C271"/>
      <c r="D271"/>
      <c r="E271"/>
      <c r="F271"/>
      <c r="G271"/>
      <c r="H271"/>
      <c r="I271"/>
      <c r="J271"/>
      <c r="K271"/>
      <c r="L271"/>
    </row>
    <row r="272" spans="1:12">
      <c r="A272"/>
      <c r="B272"/>
      <c r="C272"/>
      <c r="D272"/>
      <c r="E272"/>
      <c r="F272"/>
      <c r="G272"/>
      <c r="H272"/>
      <c r="I272"/>
      <c r="J272"/>
      <c r="K272"/>
      <c r="L272"/>
    </row>
    <row r="273" spans="1:12">
      <c r="A273"/>
      <c r="B273"/>
      <c r="C273"/>
      <c r="D273"/>
      <c r="E273"/>
      <c r="F273"/>
      <c r="G273"/>
      <c r="H273"/>
      <c r="I273"/>
      <c r="J273"/>
      <c r="K273"/>
      <c r="L273"/>
    </row>
    <row r="274" spans="1:12">
      <c r="A274"/>
      <c r="B274"/>
      <c r="C274"/>
      <c r="D274"/>
      <c r="E274"/>
      <c r="F274"/>
      <c r="G274"/>
      <c r="H274"/>
      <c r="I274"/>
      <c r="J274"/>
      <c r="K274"/>
      <c r="L274"/>
    </row>
    <row r="275" spans="1:12">
      <c r="A275"/>
      <c r="B275"/>
      <c r="C275"/>
      <c r="D275"/>
      <c r="E275"/>
      <c r="F275"/>
      <c r="G275"/>
      <c r="H275"/>
      <c r="I275"/>
      <c r="J275"/>
      <c r="K275"/>
      <c r="L275"/>
    </row>
    <row r="276" spans="1:12">
      <c r="A276"/>
      <c r="B276"/>
      <c r="C276"/>
      <c r="D276"/>
      <c r="E276"/>
      <c r="F276"/>
      <c r="G276"/>
      <c r="H276"/>
      <c r="I276"/>
      <c r="J276"/>
      <c r="K276"/>
      <c r="L276"/>
    </row>
    <row r="277" spans="1:12">
      <c r="A277"/>
      <c r="B277"/>
      <c r="C277"/>
      <c r="D277"/>
      <c r="E277"/>
      <c r="F277"/>
      <c r="G277"/>
      <c r="H277"/>
      <c r="I277"/>
      <c r="J277"/>
      <c r="K277"/>
      <c r="L277"/>
    </row>
    <row r="278" spans="1:12">
      <c r="A278"/>
      <c r="B278"/>
      <c r="C278"/>
      <c r="D278"/>
      <c r="E278"/>
      <c r="F278"/>
      <c r="G278"/>
      <c r="H278"/>
      <c r="I278"/>
      <c r="J278"/>
      <c r="K278"/>
      <c r="L278"/>
    </row>
    <row r="279" spans="1:12">
      <c r="A279"/>
      <c r="B279"/>
      <c r="C279"/>
      <c r="D279"/>
      <c r="E279"/>
      <c r="F279"/>
      <c r="G279"/>
      <c r="H279"/>
      <c r="I279"/>
      <c r="J279"/>
      <c r="K279"/>
      <c r="L279"/>
    </row>
    <row r="280" spans="1:12">
      <c r="A280"/>
      <c r="B280"/>
      <c r="C280"/>
      <c r="D280"/>
      <c r="E280"/>
      <c r="F280"/>
      <c r="G280"/>
      <c r="H280"/>
      <c r="I280"/>
      <c r="J280"/>
      <c r="K280"/>
      <c r="L280"/>
    </row>
    <row r="281" spans="1:12">
      <c r="A281"/>
      <c r="B281"/>
      <c r="C281"/>
      <c r="D281"/>
      <c r="E281"/>
      <c r="F281"/>
      <c r="G281"/>
      <c r="H281"/>
      <c r="I281"/>
      <c r="J281"/>
      <c r="K281"/>
      <c r="L281"/>
    </row>
    <row r="282" spans="1:12">
      <c r="A282"/>
      <c r="B282"/>
      <c r="C282"/>
      <c r="D282"/>
      <c r="E282"/>
      <c r="F282"/>
      <c r="G282"/>
      <c r="H282"/>
      <c r="I282"/>
      <c r="J282"/>
      <c r="K282"/>
      <c r="L282"/>
    </row>
    <row r="283" spans="1:12">
      <c r="A283"/>
      <c r="B283"/>
      <c r="C283"/>
      <c r="D283"/>
      <c r="E283"/>
      <c r="F283"/>
      <c r="G283"/>
      <c r="H283"/>
      <c r="I283"/>
      <c r="J283"/>
      <c r="K283"/>
      <c r="L283"/>
    </row>
    <row r="284" spans="1:12">
      <c r="A284"/>
      <c r="B284"/>
      <c r="C284"/>
      <c r="D284"/>
      <c r="E284"/>
      <c r="F284"/>
      <c r="G284"/>
      <c r="H284"/>
      <c r="I284"/>
      <c r="J284"/>
      <c r="K284"/>
      <c r="L284"/>
    </row>
    <row r="285" spans="1:12">
      <c r="A285"/>
      <c r="B285"/>
      <c r="C285"/>
      <c r="D285"/>
      <c r="E285"/>
      <c r="F285"/>
      <c r="G285"/>
      <c r="H285"/>
      <c r="I285"/>
      <c r="J285"/>
      <c r="K285"/>
      <c r="L285"/>
    </row>
    <row r="286" spans="1:12">
      <c r="A286"/>
      <c r="B286"/>
      <c r="C286"/>
      <c r="D286"/>
      <c r="E286"/>
      <c r="F286"/>
      <c r="G286"/>
      <c r="H286"/>
      <c r="I286"/>
      <c r="J286"/>
      <c r="K286"/>
      <c r="L286"/>
    </row>
    <row r="287" spans="1:12">
      <c r="A287"/>
      <c r="B287"/>
      <c r="C287"/>
      <c r="D287"/>
      <c r="E287"/>
      <c r="F287"/>
      <c r="G287"/>
      <c r="H287"/>
      <c r="I287"/>
      <c r="J287"/>
      <c r="K287"/>
      <c r="L287"/>
    </row>
    <row r="288" spans="1:12">
      <c r="A288"/>
      <c r="B288"/>
      <c r="C288"/>
      <c r="D288"/>
      <c r="E288"/>
      <c r="F288"/>
      <c r="G288"/>
      <c r="H288"/>
      <c r="I288"/>
      <c r="J288"/>
      <c r="K288"/>
      <c r="L288"/>
    </row>
    <row r="289" spans="1:12">
      <c r="A289"/>
      <c r="B289"/>
      <c r="C289"/>
      <c r="D289"/>
      <c r="E289"/>
      <c r="F289"/>
      <c r="G289"/>
      <c r="H289"/>
      <c r="I289"/>
      <c r="J289"/>
      <c r="K289"/>
      <c r="L289"/>
    </row>
    <row r="290" spans="1:12">
      <c r="A290"/>
      <c r="B290"/>
      <c r="C290"/>
      <c r="D290"/>
      <c r="E290"/>
      <c r="F290"/>
      <c r="G290"/>
      <c r="H290"/>
      <c r="I290"/>
      <c r="J290"/>
      <c r="K290"/>
      <c r="L290"/>
    </row>
    <row r="291" spans="1:12">
      <c r="A291"/>
      <c r="B291"/>
      <c r="C291"/>
      <c r="D291"/>
      <c r="E291"/>
      <c r="F291"/>
      <c r="G291"/>
      <c r="H291"/>
      <c r="I291"/>
      <c r="J291"/>
      <c r="K291"/>
      <c r="L291"/>
    </row>
    <row r="292" spans="1:12">
      <c r="A292"/>
      <c r="B292"/>
      <c r="C292"/>
      <c r="D292"/>
      <c r="E292"/>
      <c r="F292"/>
      <c r="G292"/>
      <c r="H292"/>
      <c r="I292"/>
      <c r="J292"/>
      <c r="K292"/>
      <c r="L292"/>
    </row>
    <row r="293" spans="1:12">
      <c r="A293"/>
      <c r="B293"/>
      <c r="C293"/>
      <c r="D293"/>
      <c r="E293"/>
      <c r="F293"/>
      <c r="G293"/>
      <c r="H293"/>
      <c r="I293"/>
      <c r="J293"/>
      <c r="K293"/>
      <c r="L293"/>
    </row>
    <row r="294" spans="1:12">
      <c r="A294"/>
      <c r="B294"/>
      <c r="C294"/>
      <c r="D294"/>
      <c r="E294"/>
      <c r="F294"/>
      <c r="G294"/>
      <c r="H294"/>
      <c r="I294"/>
      <c r="J294"/>
      <c r="K294"/>
      <c r="L294"/>
    </row>
    <row r="295" spans="1:12">
      <c r="A295"/>
      <c r="B295"/>
      <c r="C295"/>
      <c r="D295"/>
      <c r="E295"/>
      <c r="F295"/>
      <c r="G295"/>
      <c r="H295"/>
      <c r="I295"/>
      <c r="J295"/>
      <c r="K295"/>
      <c r="L295"/>
    </row>
    <row r="296" spans="1:12">
      <c r="A296"/>
      <c r="B296"/>
      <c r="C296"/>
      <c r="D296"/>
      <c r="E296"/>
      <c r="F296"/>
      <c r="G296"/>
      <c r="H296"/>
      <c r="I296"/>
      <c r="J296"/>
      <c r="K296"/>
      <c r="L296"/>
    </row>
    <row r="297" spans="1:12">
      <c r="A297"/>
      <c r="B297"/>
      <c r="C297"/>
      <c r="D297"/>
      <c r="E297"/>
      <c r="F297"/>
      <c r="G297"/>
      <c r="H297"/>
      <c r="I297"/>
      <c r="J297"/>
      <c r="K297"/>
      <c r="L297"/>
    </row>
    <row r="298" spans="1:12">
      <c r="A298"/>
      <c r="B298"/>
      <c r="C298"/>
      <c r="D298"/>
      <c r="E298"/>
      <c r="F298"/>
      <c r="G298"/>
      <c r="H298"/>
      <c r="I298"/>
      <c r="J298"/>
      <c r="K298"/>
      <c r="L298"/>
    </row>
    <row r="299" spans="1:12">
      <c r="A299"/>
      <c r="B299"/>
      <c r="C299"/>
      <c r="D299"/>
      <c r="E299"/>
      <c r="F299"/>
      <c r="G299"/>
      <c r="H299"/>
      <c r="I299"/>
      <c r="J299"/>
      <c r="K299"/>
      <c r="L299"/>
    </row>
    <row r="300" spans="1:12">
      <c r="A300"/>
      <c r="B300"/>
      <c r="C300"/>
      <c r="D300"/>
      <c r="E300"/>
      <c r="F300"/>
      <c r="G300"/>
      <c r="H300"/>
      <c r="I300"/>
      <c r="J300"/>
      <c r="K300"/>
      <c r="L300"/>
    </row>
    <row r="301" spans="1:12">
      <c r="A301"/>
      <c r="B301"/>
      <c r="C301"/>
      <c r="D301"/>
      <c r="E301"/>
      <c r="F301"/>
      <c r="G301"/>
      <c r="H301"/>
      <c r="I301"/>
      <c r="J301"/>
      <c r="K301"/>
      <c r="L301"/>
    </row>
    <row r="302" spans="1:12">
      <c r="A302"/>
      <c r="B302"/>
      <c r="C302"/>
      <c r="D302"/>
      <c r="E302"/>
      <c r="F302"/>
      <c r="G302"/>
      <c r="H302"/>
      <c r="I302"/>
      <c r="J302"/>
      <c r="K302"/>
      <c r="L302"/>
    </row>
    <row r="303" spans="1:12">
      <c r="A303"/>
      <c r="B303"/>
      <c r="C303"/>
      <c r="D303"/>
      <c r="E303"/>
      <c r="F303"/>
      <c r="G303"/>
      <c r="H303"/>
      <c r="I303"/>
      <c r="J303"/>
      <c r="K303"/>
      <c r="L303"/>
    </row>
    <row r="304" spans="1:12">
      <c r="A304"/>
      <c r="B304"/>
      <c r="C304"/>
      <c r="D304"/>
      <c r="E304"/>
      <c r="F304"/>
      <c r="G304"/>
      <c r="H304"/>
      <c r="I304"/>
      <c r="J304"/>
      <c r="K304"/>
      <c r="L304"/>
    </row>
    <row r="305" spans="1:12">
      <c r="A305"/>
      <c r="B305"/>
      <c r="C305"/>
      <c r="D305"/>
      <c r="E305"/>
      <c r="F305"/>
      <c r="G305"/>
      <c r="H305"/>
      <c r="I305"/>
      <c r="J305"/>
      <c r="K305"/>
      <c r="L305"/>
    </row>
    <row r="306" spans="1:12">
      <c r="A306"/>
      <c r="B306"/>
      <c r="C306"/>
      <c r="D306"/>
      <c r="E306"/>
      <c r="F306"/>
      <c r="G306"/>
      <c r="H306"/>
      <c r="I306"/>
      <c r="J306"/>
      <c r="K306"/>
      <c r="L306"/>
    </row>
    <row r="307" spans="1:12">
      <c r="A307"/>
      <c r="B307"/>
      <c r="C307"/>
      <c r="D307"/>
      <c r="E307"/>
      <c r="F307"/>
      <c r="G307"/>
      <c r="H307"/>
      <c r="I307"/>
      <c r="J307"/>
      <c r="K307"/>
      <c r="L307"/>
    </row>
    <row r="308" spans="1:12">
      <c r="A308"/>
      <c r="B308"/>
      <c r="C308"/>
      <c r="D308"/>
      <c r="E308"/>
      <c r="F308"/>
      <c r="G308"/>
      <c r="H308"/>
      <c r="I308"/>
      <c r="J308"/>
      <c r="K308"/>
      <c r="L308"/>
    </row>
    <row r="309" spans="1:12">
      <c r="A309"/>
      <c r="B309"/>
      <c r="C309"/>
      <c r="D309"/>
      <c r="E309"/>
      <c r="F309"/>
      <c r="G309"/>
      <c r="H309"/>
      <c r="I309"/>
      <c r="J309"/>
      <c r="K309"/>
      <c r="L309"/>
    </row>
    <row r="310" spans="1:12">
      <c r="A310"/>
      <c r="B310"/>
      <c r="C310"/>
      <c r="D310"/>
      <c r="E310"/>
      <c r="F310"/>
      <c r="G310"/>
      <c r="H310"/>
      <c r="I310"/>
      <c r="J310"/>
      <c r="K310"/>
      <c r="L310"/>
    </row>
    <row r="311" spans="1:12">
      <c r="A311"/>
      <c r="B311"/>
      <c r="C311"/>
      <c r="D311"/>
      <c r="E311"/>
      <c r="F311"/>
      <c r="G311"/>
      <c r="H311"/>
      <c r="I311"/>
      <c r="J311"/>
      <c r="K311"/>
      <c r="L311"/>
    </row>
    <row r="312" spans="1:12">
      <c r="A312"/>
      <c r="B312"/>
      <c r="C312"/>
      <c r="D312"/>
      <c r="E312"/>
      <c r="F312"/>
      <c r="G312"/>
      <c r="H312"/>
      <c r="I312"/>
      <c r="J312"/>
      <c r="K312"/>
      <c r="L312"/>
    </row>
    <row r="313" spans="1:12">
      <c r="A313"/>
      <c r="B313"/>
      <c r="C313"/>
      <c r="D313"/>
      <c r="E313"/>
      <c r="F313"/>
      <c r="G313"/>
      <c r="H313"/>
      <c r="I313"/>
      <c r="J313"/>
      <c r="K313"/>
      <c r="L313"/>
    </row>
    <row r="314" spans="1:12">
      <c r="A314"/>
      <c r="B314"/>
      <c r="C314"/>
      <c r="D314"/>
      <c r="E314"/>
      <c r="F314"/>
      <c r="G314"/>
      <c r="H314"/>
      <c r="I314"/>
      <c r="J314"/>
      <c r="K314"/>
      <c r="L314"/>
    </row>
    <row r="315" spans="1:12">
      <c r="A315"/>
      <c r="B315"/>
      <c r="C315"/>
      <c r="D315"/>
      <c r="E315"/>
      <c r="F315"/>
      <c r="G315"/>
      <c r="H315"/>
      <c r="I315"/>
      <c r="J315"/>
      <c r="K315"/>
      <c r="L315"/>
    </row>
    <row r="316" spans="1:12">
      <c r="A316"/>
      <c r="B316"/>
      <c r="C316"/>
      <c r="D316"/>
      <c r="E316"/>
      <c r="F316"/>
      <c r="G316"/>
      <c r="H316"/>
      <c r="I316"/>
      <c r="J316"/>
      <c r="K316"/>
      <c r="L316"/>
    </row>
    <row r="317" spans="1:12">
      <c r="A317"/>
      <c r="B317"/>
      <c r="C317"/>
      <c r="D317"/>
      <c r="E317"/>
      <c r="F317"/>
      <c r="G317"/>
      <c r="H317"/>
      <c r="I317"/>
      <c r="J317"/>
      <c r="K317"/>
      <c r="L317"/>
    </row>
    <row r="318" spans="1:12">
      <c r="A318"/>
      <c r="B318"/>
      <c r="C318"/>
      <c r="D318"/>
      <c r="E318"/>
      <c r="F318"/>
      <c r="G318"/>
      <c r="H318"/>
      <c r="I318"/>
      <c r="J318"/>
      <c r="K318"/>
      <c r="L318"/>
    </row>
    <row r="319" spans="1:12">
      <c r="A319"/>
      <c r="B319"/>
      <c r="C319"/>
      <c r="D319"/>
      <c r="E319"/>
      <c r="F319"/>
      <c r="G319"/>
      <c r="H319"/>
      <c r="I319"/>
      <c r="J319"/>
      <c r="K319"/>
      <c r="L319"/>
    </row>
    <row r="320" spans="1:12">
      <c r="A320"/>
      <c r="B320"/>
      <c r="C320"/>
      <c r="D320"/>
      <c r="E320"/>
      <c r="F320"/>
      <c r="G320"/>
      <c r="H320"/>
      <c r="I320"/>
      <c r="J320"/>
      <c r="K320"/>
      <c r="L320"/>
    </row>
    <row r="321" spans="1:12">
      <c r="A321"/>
      <c r="B321"/>
      <c r="C321"/>
      <c r="D321"/>
      <c r="E321"/>
      <c r="F321"/>
      <c r="G321"/>
      <c r="H321"/>
      <c r="I321"/>
      <c r="J321"/>
      <c r="K321"/>
      <c r="L321"/>
    </row>
    <row r="322" spans="1:12">
      <c r="A322"/>
      <c r="B322"/>
      <c r="C322"/>
      <c r="D322"/>
      <c r="E322"/>
      <c r="F322"/>
      <c r="G322"/>
      <c r="H322"/>
      <c r="I322"/>
      <c r="J322"/>
      <c r="K322"/>
      <c r="L322"/>
    </row>
    <row r="323" spans="1:12">
      <c r="A323"/>
      <c r="B323"/>
      <c r="C323"/>
      <c r="D323"/>
      <c r="E323"/>
      <c r="F323"/>
      <c r="G323"/>
      <c r="H323"/>
      <c r="I323"/>
      <c r="J323"/>
      <c r="K323"/>
      <c r="L323"/>
    </row>
    <row r="324" spans="1:12">
      <c r="A324"/>
      <c r="B324"/>
      <c r="C324"/>
      <c r="D324"/>
      <c r="E324"/>
      <c r="F324"/>
      <c r="G324"/>
      <c r="H324"/>
      <c r="I324"/>
      <c r="J324"/>
      <c r="K324"/>
      <c r="L324"/>
    </row>
    <row r="325" spans="1:12">
      <c r="A325"/>
      <c r="B325"/>
      <c r="C325"/>
      <c r="D325"/>
      <c r="E325"/>
      <c r="F325"/>
      <c r="G325"/>
      <c r="H325"/>
      <c r="I325"/>
      <c r="J325"/>
      <c r="K325"/>
      <c r="L325"/>
    </row>
    <row r="326" spans="1:12">
      <c r="A326"/>
      <c r="B326"/>
      <c r="C326"/>
      <c r="D326"/>
      <c r="E326"/>
      <c r="F326"/>
      <c r="G326"/>
      <c r="H326"/>
      <c r="I326"/>
      <c r="J326"/>
      <c r="K326"/>
      <c r="L326"/>
    </row>
    <row r="327" spans="1:12">
      <c r="A327"/>
      <c r="B327"/>
      <c r="C327"/>
      <c r="D327"/>
      <c r="E327"/>
      <c r="F327"/>
      <c r="G327"/>
      <c r="H327"/>
      <c r="I327"/>
      <c r="J327"/>
      <c r="K327"/>
      <c r="L327"/>
    </row>
    <row r="328" spans="1:12">
      <c r="A328"/>
      <c r="B328"/>
      <c r="C328"/>
      <c r="D328"/>
      <c r="E328"/>
      <c r="F328"/>
      <c r="G328"/>
      <c r="H328"/>
      <c r="I328"/>
      <c r="J328"/>
      <c r="K328"/>
      <c r="L328"/>
    </row>
    <row r="329" spans="1:12">
      <c r="A329"/>
      <c r="B329"/>
      <c r="C329"/>
      <c r="D329"/>
      <c r="E329"/>
      <c r="F329"/>
      <c r="G329"/>
      <c r="H329"/>
      <c r="I329"/>
      <c r="J329"/>
      <c r="K329"/>
      <c r="L329"/>
    </row>
    <row r="330" spans="1:12">
      <c r="A330"/>
      <c r="B330"/>
      <c r="C330"/>
      <c r="D330"/>
      <c r="E330"/>
      <c r="F330"/>
      <c r="G330"/>
      <c r="H330"/>
      <c r="I330"/>
      <c r="J330"/>
      <c r="K330"/>
      <c r="L330"/>
    </row>
    <row r="331" spans="1:12">
      <c r="A331"/>
      <c r="B331"/>
      <c r="C331"/>
      <c r="D331"/>
      <c r="E331"/>
      <c r="F331"/>
      <c r="G331"/>
      <c r="H331"/>
      <c r="I331"/>
      <c r="J331"/>
      <c r="K331"/>
      <c r="L331"/>
    </row>
    <row r="332" spans="1:12">
      <c r="A332"/>
      <c r="B332"/>
      <c r="C332"/>
      <c r="D332"/>
      <c r="E332"/>
      <c r="F332"/>
      <c r="G332"/>
      <c r="H332"/>
      <c r="I332"/>
      <c r="J332"/>
      <c r="K332"/>
      <c r="L332"/>
    </row>
    <row r="333" spans="1:12">
      <c r="A333"/>
      <c r="B333"/>
      <c r="C333"/>
      <c r="D333"/>
      <c r="E333"/>
      <c r="F333"/>
      <c r="G333"/>
      <c r="H333"/>
      <c r="I333"/>
      <c r="J333"/>
      <c r="K333"/>
      <c r="L333"/>
    </row>
    <row r="334" spans="1:12">
      <c r="A334"/>
      <c r="B334"/>
      <c r="C334"/>
      <c r="D334"/>
      <c r="E334"/>
      <c r="F334"/>
      <c r="G334"/>
      <c r="H334"/>
      <c r="I334"/>
      <c r="J334"/>
      <c r="K334"/>
      <c r="L334"/>
    </row>
    <row r="335" spans="1:12">
      <c r="A335"/>
      <c r="B335"/>
      <c r="C335"/>
      <c r="D335"/>
      <c r="E335"/>
      <c r="F335"/>
      <c r="G335"/>
      <c r="H335"/>
      <c r="I335"/>
      <c r="J335"/>
      <c r="K335"/>
      <c r="L335"/>
    </row>
  </sheetData>
  <mergeCells count="7">
    <mergeCell ref="B32:C32"/>
    <mergeCell ref="A4:L4"/>
    <mergeCell ref="A24:L24"/>
    <mergeCell ref="B26:B27"/>
    <mergeCell ref="C26:C27"/>
    <mergeCell ref="D26:F26"/>
    <mergeCell ref="B31:C31"/>
  </mergeCells>
  <pageMargins left="0.7" right="0.7" top="0.75" bottom="0.75" header="0.3" footer="0.3"/>
  <pageSetup orientation="portrait" horizontalDpi="0"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B91B4-B91D-49C4-AFE4-9C827184F5FB}">
  <dimension ref="A1:BW398"/>
  <sheetViews>
    <sheetView zoomScaleNormal="100" workbookViewId="0"/>
  </sheetViews>
  <sheetFormatPr defaultColWidth="9.109375" defaultRowHeight="15.6"/>
  <cols>
    <col min="1" max="1" width="11.5546875" style="1" customWidth="1"/>
    <col min="2" max="2" width="15.109375" style="1" customWidth="1"/>
    <col min="3" max="8" width="12.5546875" style="1" customWidth="1"/>
    <col min="9" max="11" width="11.5546875" style="1" customWidth="1"/>
    <col min="12" max="12" width="12.6640625" style="1" customWidth="1"/>
    <col min="13" max="13" width="9.5546875" style="37" customWidth="1"/>
    <col min="14" max="14" width="10.109375" style="37" bestFit="1" customWidth="1"/>
    <col min="15" max="15" width="9.109375" style="37"/>
    <col min="16" max="16" width="10.33203125" style="37" customWidth="1"/>
    <col min="17" max="39" width="9.109375" style="37"/>
    <col min="76" max="16384" width="9.109375" style="1"/>
  </cols>
  <sheetData>
    <row r="1" spans="1:12" ht="15.75" customHeight="1">
      <c r="A1" s="23" t="s">
        <v>859</v>
      </c>
      <c r="B1" s="22"/>
      <c r="C1" s="5" t="s">
        <v>38</v>
      </c>
      <c r="D1" s="22"/>
      <c r="E1" s="22"/>
      <c r="F1" s="22"/>
      <c r="G1" s="22"/>
      <c r="H1" s="22"/>
      <c r="I1" s="22"/>
      <c r="J1" s="22"/>
      <c r="K1" s="22"/>
      <c r="L1" s="2"/>
    </row>
    <row r="2" spans="1:12" ht="15.75" customHeight="1">
      <c r="A2" s="21"/>
      <c r="B2" s="3"/>
      <c r="C2" s="3"/>
      <c r="D2" s="3"/>
      <c r="E2" s="3"/>
      <c r="F2" s="3"/>
      <c r="G2" s="3"/>
      <c r="H2" s="19"/>
      <c r="I2" s="19"/>
      <c r="J2" s="4"/>
      <c r="K2" s="4"/>
      <c r="L2" s="4"/>
    </row>
    <row r="3" spans="1:12" ht="15.6" customHeight="1">
      <c r="A3" s="1733" t="s">
        <v>970</v>
      </c>
      <c r="B3" s="1733"/>
      <c r="C3" s="1733"/>
      <c r="D3" s="1733"/>
      <c r="E3" s="1733"/>
      <c r="F3" s="1733"/>
      <c r="G3" s="1733"/>
      <c r="H3" s="1733"/>
      <c r="I3" s="1733"/>
      <c r="J3" s="1733"/>
      <c r="K3" s="1733"/>
      <c r="L3" s="1733"/>
    </row>
    <row r="4" spans="1:12" ht="15.75" customHeight="1">
      <c r="A4" s="21"/>
      <c r="B4" s="3"/>
      <c r="C4" s="3"/>
      <c r="D4" s="3"/>
      <c r="E4" s="3"/>
      <c r="F4" s="3"/>
      <c r="G4" s="3"/>
      <c r="H4" s="19"/>
      <c r="I4" s="19"/>
      <c r="J4" s="4"/>
      <c r="K4" s="4"/>
      <c r="L4" s="4"/>
    </row>
    <row r="5" spans="1:12" ht="30.9" customHeight="1">
      <c r="A5" s="1733" t="s">
        <v>969</v>
      </c>
      <c r="B5" s="1733"/>
      <c r="C5" s="1733"/>
      <c r="D5" s="1733"/>
      <c r="E5" s="1733"/>
      <c r="F5" s="1733"/>
      <c r="G5" s="1733"/>
      <c r="H5" s="1733"/>
      <c r="I5" s="1733"/>
      <c r="J5" s="1733"/>
      <c r="K5" s="1733"/>
      <c r="L5" s="1733"/>
    </row>
    <row r="6" spans="1:12" ht="15.75" customHeight="1">
      <c r="A6" s="21"/>
      <c r="B6" s="3"/>
      <c r="C6" s="3"/>
      <c r="D6" s="3"/>
      <c r="E6" s="3"/>
      <c r="F6" s="3"/>
      <c r="G6" s="3"/>
      <c r="H6" s="19"/>
      <c r="I6" s="19"/>
      <c r="J6" s="4"/>
      <c r="K6" s="4"/>
      <c r="L6" s="4"/>
    </row>
    <row r="7" spans="1:12" ht="15.75" customHeight="1">
      <c r="A7" s="21"/>
      <c r="B7" s="1664" t="s">
        <v>968</v>
      </c>
      <c r="C7" s="1793"/>
      <c r="D7" s="1793"/>
      <c r="E7" s="1665"/>
      <c r="F7" s="84" t="s">
        <v>855</v>
      </c>
      <c r="G7" s="84" t="s">
        <v>854</v>
      </c>
      <c r="H7" s="19"/>
      <c r="I7" s="19"/>
      <c r="J7" s="4"/>
      <c r="K7" s="4"/>
      <c r="L7" s="4"/>
    </row>
    <row r="8" spans="1:12" ht="15.75" customHeight="1">
      <c r="A8" s="21"/>
      <c r="B8" s="1802" t="s">
        <v>967</v>
      </c>
      <c r="C8" s="1803"/>
      <c r="D8" s="1803"/>
      <c r="E8" s="1804"/>
      <c r="F8" s="10">
        <v>5351000</v>
      </c>
      <c r="G8" s="10">
        <v>2486000</v>
      </c>
      <c r="H8" s="19"/>
      <c r="I8" s="19"/>
      <c r="J8" s="4"/>
      <c r="K8" s="4"/>
      <c r="L8" s="4"/>
    </row>
    <row r="9" spans="1:12" ht="15.75" customHeight="1">
      <c r="A9" s="21"/>
      <c r="B9" s="1802" t="s">
        <v>966</v>
      </c>
      <c r="C9" s="1803"/>
      <c r="D9" s="1803"/>
      <c r="E9" s="1804"/>
      <c r="F9" s="10">
        <v>4215000</v>
      </c>
      <c r="G9" s="10">
        <v>3993000</v>
      </c>
      <c r="H9" s="19"/>
      <c r="I9" s="19"/>
      <c r="J9" s="4"/>
      <c r="K9" s="4"/>
      <c r="L9" s="4"/>
    </row>
    <row r="10" spans="1:12" ht="15.75" customHeight="1">
      <c r="A10" s="21"/>
      <c r="B10" s="3"/>
      <c r="C10" s="3"/>
      <c r="D10" s="3"/>
      <c r="E10" s="3"/>
      <c r="F10" s="3"/>
      <c r="G10" s="3"/>
      <c r="H10" s="19"/>
      <c r="I10" s="19"/>
      <c r="J10" s="4"/>
      <c r="K10" s="4"/>
      <c r="L10" s="4"/>
    </row>
    <row r="11" spans="1:12" ht="15.75" customHeight="1">
      <c r="A11" s="21"/>
      <c r="B11" s="1805" t="s">
        <v>965</v>
      </c>
      <c r="C11" s="1806"/>
      <c r="D11" s="1806"/>
      <c r="E11" s="1807"/>
      <c r="F11" s="1789" t="s">
        <v>964</v>
      </c>
      <c r="G11" s="1789"/>
      <c r="H11" s="19"/>
      <c r="I11" s="19"/>
      <c r="J11" s="4"/>
      <c r="K11" s="4"/>
      <c r="L11" s="4"/>
    </row>
    <row r="12" spans="1:12" ht="15.6" customHeight="1">
      <c r="A12" s="5"/>
      <c r="B12" s="1808" t="s">
        <v>850</v>
      </c>
      <c r="C12" s="1809"/>
      <c r="D12" s="1809"/>
      <c r="E12" s="1810"/>
      <c r="F12" s="84" t="s">
        <v>919</v>
      </c>
      <c r="G12" s="84" t="s">
        <v>917</v>
      </c>
      <c r="H12" s="44"/>
      <c r="I12" s="44"/>
      <c r="J12" s="44"/>
      <c r="K12" s="44"/>
      <c r="L12" s="44"/>
    </row>
    <row r="13" spans="1:12" ht="30.9" customHeight="1">
      <c r="A13" s="749"/>
      <c r="B13" s="470">
        <v>1</v>
      </c>
      <c r="C13" s="1799" t="s">
        <v>963</v>
      </c>
      <c r="D13" s="1800"/>
      <c r="E13" s="1801"/>
      <c r="F13" s="133">
        <v>5</v>
      </c>
      <c r="G13" s="133">
        <v>4</v>
      </c>
      <c r="H13" s="44"/>
      <c r="I13" s="44"/>
      <c r="J13" s="44"/>
      <c r="K13" s="44"/>
      <c r="L13" s="44"/>
    </row>
    <row r="14" spans="1:12" ht="30.9" customHeight="1">
      <c r="A14" s="163"/>
      <c r="B14" s="133">
        <v>2</v>
      </c>
      <c r="C14" s="1799" t="s">
        <v>962</v>
      </c>
      <c r="D14" s="1800"/>
      <c r="E14" s="1801"/>
      <c r="F14" s="492">
        <v>3</v>
      </c>
      <c r="G14" s="133">
        <v>3</v>
      </c>
      <c r="H14" s="44"/>
      <c r="I14" s="44"/>
      <c r="J14" s="44"/>
      <c r="K14" s="44"/>
      <c r="L14" s="44"/>
    </row>
    <row r="15" spans="1:12" ht="30.9" customHeight="1">
      <c r="A15" s="163"/>
      <c r="B15" s="470">
        <v>3</v>
      </c>
      <c r="C15" s="1799" t="s">
        <v>961</v>
      </c>
      <c r="D15" s="1800"/>
      <c r="E15" s="1801"/>
      <c r="F15" s="492">
        <v>6</v>
      </c>
      <c r="G15" s="133">
        <v>2</v>
      </c>
      <c r="H15" s="44"/>
      <c r="I15" s="44"/>
      <c r="J15" s="44"/>
      <c r="K15" s="44"/>
      <c r="L15" s="44"/>
    </row>
    <row r="16" spans="1:12" ht="30.9" customHeight="1">
      <c r="A16" s="163"/>
      <c r="B16" s="470">
        <v>4</v>
      </c>
      <c r="C16" s="1799" t="s">
        <v>960</v>
      </c>
      <c r="D16" s="1800"/>
      <c r="E16" s="1801"/>
      <c r="F16" s="492">
        <v>4</v>
      </c>
      <c r="G16" s="133">
        <v>3</v>
      </c>
      <c r="H16" s="44"/>
      <c r="I16" s="44"/>
      <c r="J16" s="44"/>
      <c r="K16" s="44"/>
      <c r="L16" s="44"/>
    </row>
    <row r="17" spans="1:12" ht="30.9" customHeight="1">
      <c r="A17" s="163"/>
      <c r="B17" s="470">
        <v>5</v>
      </c>
      <c r="C17" s="1799" t="s">
        <v>959</v>
      </c>
      <c r="D17" s="1800"/>
      <c r="E17" s="1801"/>
      <c r="F17" s="492">
        <v>3</v>
      </c>
      <c r="G17" s="133">
        <v>5</v>
      </c>
      <c r="H17" s="44"/>
      <c r="I17" s="44"/>
      <c r="J17" s="44"/>
      <c r="K17" s="44"/>
      <c r="L17" s="44"/>
    </row>
    <row r="18" spans="1:12" ht="15.75" customHeight="1">
      <c r="A18" s="163"/>
      <c r="B18" s="470">
        <v>6</v>
      </c>
      <c r="C18" s="1790" t="s">
        <v>958</v>
      </c>
      <c r="D18" s="1791"/>
      <c r="E18" s="1792"/>
      <c r="F18" s="492">
        <v>5</v>
      </c>
      <c r="G18" s="133">
        <v>3</v>
      </c>
      <c r="H18" s="44"/>
      <c r="I18" s="44"/>
      <c r="J18" s="44"/>
      <c r="K18" s="44"/>
      <c r="L18" s="44"/>
    </row>
    <row r="19" spans="1:12" ht="15.75" customHeight="1">
      <c r="A19" s="163"/>
      <c r="B19" s="163"/>
      <c r="C19" s="163"/>
      <c r="D19" s="747"/>
      <c r="E19" s="163"/>
      <c r="F19" s="746"/>
      <c r="G19" s="44"/>
      <c r="H19" s="44"/>
      <c r="I19" s="44"/>
      <c r="J19" s="44"/>
      <c r="K19" s="44"/>
      <c r="L19" s="44"/>
    </row>
    <row r="20" spans="1:12" ht="15.75" customHeight="1">
      <c r="A20" s="163"/>
      <c r="B20" s="1664" t="s">
        <v>957</v>
      </c>
      <c r="C20" s="1793"/>
      <c r="D20" s="1793"/>
      <c r="E20" s="1793"/>
      <c r="F20" s="1665"/>
      <c r="G20" s="44"/>
      <c r="H20" s="44"/>
      <c r="I20" s="44"/>
      <c r="J20" s="44"/>
      <c r="K20" s="44"/>
      <c r="L20" s="44"/>
    </row>
    <row r="21" spans="1:12" ht="15.75" customHeight="1">
      <c r="A21" s="163"/>
      <c r="B21" s="11"/>
      <c r="C21" s="466" t="s">
        <v>919</v>
      </c>
      <c r="D21" s="742" t="s">
        <v>918</v>
      </c>
      <c r="E21" s="466" t="s">
        <v>917</v>
      </c>
      <c r="F21" s="742" t="s">
        <v>916</v>
      </c>
      <c r="G21" s="44"/>
      <c r="H21" s="44"/>
      <c r="I21" s="44"/>
      <c r="J21" s="44"/>
      <c r="K21" s="44"/>
      <c r="L21" s="44"/>
    </row>
    <row r="22" spans="1:12" ht="15.75" customHeight="1">
      <c r="A22" s="163"/>
      <c r="B22" s="745" t="s">
        <v>919</v>
      </c>
      <c r="C22" s="735">
        <v>1</v>
      </c>
      <c r="D22" s="735">
        <v>0.6</v>
      </c>
      <c r="E22" s="735">
        <v>0.35</v>
      </c>
      <c r="F22" s="735">
        <v>0.3</v>
      </c>
      <c r="G22" s="44"/>
      <c r="H22" s="44"/>
      <c r="I22" s="44"/>
      <c r="J22" s="44"/>
      <c r="K22" s="44"/>
      <c r="L22" s="44"/>
    </row>
    <row r="23" spans="1:12" ht="15.75" customHeight="1">
      <c r="A23" s="3"/>
      <c r="B23" s="745" t="s">
        <v>918</v>
      </c>
      <c r="C23" s="735">
        <v>0.6</v>
      </c>
      <c r="D23" s="735">
        <v>1</v>
      </c>
      <c r="E23" s="735">
        <v>0.15</v>
      </c>
      <c r="F23" s="735">
        <v>0.4</v>
      </c>
      <c r="G23" s="44"/>
      <c r="H23" s="44"/>
      <c r="I23" s="44"/>
      <c r="J23" s="44"/>
      <c r="K23" s="44"/>
      <c r="L23" s="44"/>
    </row>
    <row r="24" spans="1:12" ht="15.75" customHeight="1">
      <c r="A24" s="162"/>
      <c r="B24" s="744" t="s">
        <v>917</v>
      </c>
      <c r="C24" s="735">
        <v>0.35</v>
      </c>
      <c r="D24" s="735">
        <v>0.15</v>
      </c>
      <c r="E24" s="735">
        <v>1</v>
      </c>
      <c r="F24" s="735">
        <v>0.5</v>
      </c>
      <c r="G24" s="2"/>
      <c r="H24" s="2"/>
      <c r="I24" s="2"/>
      <c r="J24" s="2"/>
      <c r="K24" s="2"/>
      <c r="L24" s="2"/>
    </row>
    <row r="25" spans="1:12" ht="15.75" customHeight="1">
      <c r="A25" s="162"/>
      <c r="B25" s="744" t="s">
        <v>916</v>
      </c>
      <c r="C25" s="735">
        <v>0.3</v>
      </c>
      <c r="D25" s="735">
        <v>0.4</v>
      </c>
      <c r="E25" s="735">
        <v>0.5</v>
      </c>
      <c r="F25" s="735">
        <v>1</v>
      </c>
      <c r="G25" s="2"/>
      <c r="H25" s="2"/>
      <c r="I25" s="2"/>
      <c r="J25" s="2"/>
      <c r="K25" s="2"/>
      <c r="L25" s="2"/>
    </row>
    <row r="26" spans="1:12" ht="15.75" customHeight="1">
      <c r="A26" s="162"/>
      <c r="B26" s="743"/>
      <c r="C26" s="734"/>
      <c r="D26" s="734"/>
      <c r="E26" s="734"/>
      <c r="F26" s="734"/>
      <c r="G26" s="2"/>
      <c r="H26" s="2"/>
      <c r="I26" s="2"/>
      <c r="J26" s="2"/>
      <c r="K26" s="2"/>
      <c r="L26" s="2"/>
    </row>
    <row r="27" spans="1:12" ht="30.9" customHeight="1">
      <c r="A27" s="162"/>
      <c r="B27" s="1794" t="s">
        <v>956</v>
      </c>
      <c r="C27" s="1795"/>
      <c r="D27" s="1796" t="s">
        <v>955</v>
      </c>
      <c r="E27" s="1796" t="s">
        <v>954</v>
      </c>
      <c r="F27" s="734"/>
      <c r="G27" s="2"/>
      <c r="H27" s="2"/>
      <c r="I27" s="2"/>
      <c r="J27" s="2"/>
      <c r="K27" s="2"/>
      <c r="L27" s="2"/>
    </row>
    <row r="28" spans="1:12" ht="15.75" customHeight="1">
      <c r="A28" s="162"/>
      <c r="B28" s="742" t="s">
        <v>279</v>
      </c>
      <c r="C28" s="741" t="s">
        <v>278</v>
      </c>
      <c r="D28" s="1797"/>
      <c r="E28" s="1797"/>
      <c r="F28" s="734"/>
      <c r="G28" s="2"/>
      <c r="H28" s="2"/>
      <c r="I28" s="2"/>
      <c r="J28" s="2"/>
      <c r="K28" s="2"/>
      <c r="L28" s="2"/>
    </row>
    <row r="29" spans="1:12" ht="15.75" customHeight="1">
      <c r="A29" s="162"/>
      <c r="B29" s="740">
        <v>1</v>
      </c>
      <c r="C29" s="740">
        <v>1.5</v>
      </c>
      <c r="D29" s="739">
        <v>0.19</v>
      </c>
      <c r="E29" s="739">
        <v>0.18</v>
      </c>
      <c r="F29" s="734"/>
      <c r="G29" s="2"/>
      <c r="H29" s="2"/>
      <c r="I29" s="2"/>
      <c r="J29" s="2"/>
      <c r="K29" s="2"/>
      <c r="L29" s="2"/>
    </row>
    <row r="30" spans="1:12" ht="15.75" customHeight="1">
      <c r="A30" s="162"/>
      <c r="B30" s="740">
        <v>1.5</v>
      </c>
      <c r="C30" s="740">
        <v>2</v>
      </c>
      <c r="D30" s="739">
        <v>0.15</v>
      </c>
      <c r="E30" s="739">
        <v>0.13</v>
      </c>
      <c r="F30" s="734"/>
      <c r="G30" s="2"/>
      <c r="H30" s="2"/>
      <c r="I30" s="2"/>
      <c r="J30" s="2"/>
      <c r="K30" s="2"/>
      <c r="L30" s="2"/>
    </row>
    <row r="31" spans="1:12" ht="15.75" customHeight="1">
      <c r="A31" s="162"/>
      <c r="B31" s="740">
        <v>2</v>
      </c>
      <c r="C31" s="740">
        <v>2.5</v>
      </c>
      <c r="D31" s="739">
        <v>0.125</v>
      </c>
      <c r="E31" s="739">
        <v>0.105</v>
      </c>
      <c r="F31" s="734"/>
      <c r="G31" s="2"/>
      <c r="H31" s="2"/>
      <c r="I31" s="2"/>
      <c r="J31" s="2"/>
      <c r="K31" s="2"/>
      <c r="L31" s="2"/>
    </row>
    <row r="32" spans="1:12" ht="15.75" customHeight="1">
      <c r="A32" s="162"/>
      <c r="B32" s="740">
        <v>2.5</v>
      </c>
      <c r="C32" s="740">
        <v>3</v>
      </c>
      <c r="D32" s="739">
        <v>0.105</v>
      </c>
      <c r="E32" s="739">
        <v>8.5000000000000006E-2</v>
      </c>
      <c r="F32" s="734"/>
      <c r="G32" s="2"/>
      <c r="H32" s="2"/>
      <c r="I32" s="2"/>
      <c r="J32" s="2"/>
      <c r="K32" s="2"/>
      <c r="L32" s="2"/>
    </row>
    <row r="33" spans="1:12" ht="15.75" customHeight="1">
      <c r="A33" s="162"/>
      <c r="B33" s="740">
        <v>3</v>
      </c>
      <c r="C33" s="740">
        <v>3.5</v>
      </c>
      <c r="D33" s="739">
        <v>0.09</v>
      </c>
      <c r="E33" s="739">
        <v>7.4999999999999997E-2</v>
      </c>
      <c r="F33" s="734"/>
      <c r="G33" s="2"/>
      <c r="H33" s="2"/>
      <c r="I33" s="2"/>
      <c r="J33" s="2"/>
      <c r="K33" s="2"/>
      <c r="L33" s="2"/>
    </row>
    <row r="34" spans="1:12" ht="15.75" customHeight="1">
      <c r="A34" s="162"/>
      <c r="B34" s="740">
        <v>3.5</v>
      </c>
      <c r="C34" s="740">
        <v>4</v>
      </c>
      <c r="D34" s="739">
        <v>0.08</v>
      </c>
      <c r="E34" s="739">
        <v>6.5000000000000002E-2</v>
      </c>
      <c r="F34" s="734"/>
      <c r="G34" s="2"/>
      <c r="H34" s="2"/>
      <c r="I34" s="2"/>
      <c r="J34" s="2"/>
      <c r="K34" s="2"/>
      <c r="L34" s="2"/>
    </row>
    <row r="35" spans="1:12" ht="15.75" customHeight="1">
      <c r="A35" s="162"/>
      <c r="B35" s="740">
        <v>4</v>
      </c>
      <c r="C35" s="740">
        <v>4.5</v>
      </c>
      <c r="D35" s="739">
        <v>7.4999999999999997E-2</v>
      </c>
      <c r="E35" s="739">
        <v>0.06</v>
      </c>
      <c r="F35" s="734"/>
      <c r="G35" s="2"/>
      <c r="H35" s="2"/>
      <c r="I35" s="2"/>
      <c r="J35" s="2"/>
      <c r="K35" s="2"/>
      <c r="L35" s="2"/>
    </row>
    <row r="36" spans="1:12" ht="15.75" customHeight="1">
      <c r="A36" s="162"/>
      <c r="B36" s="740">
        <v>4.5</v>
      </c>
      <c r="C36" s="740">
        <v>5</v>
      </c>
      <c r="D36" s="739">
        <v>7.0000000000000007E-2</v>
      </c>
      <c r="E36" s="739">
        <v>5.5E-2</v>
      </c>
      <c r="F36" s="734"/>
      <c r="G36" s="2"/>
      <c r="H36" s="2"/>
      <c r="I36" s="2"/>
      <c r="J36" s="2"/>
      <c r="K36" s="2"/>
      <c r="L36" s="2"/>
    </row>
    <row r="37" spans="1:12" ht="15.75" customHeight="1">
      <c r="A37" s="162"/>
      <c r="B37" s="740">
        <v>5</v>
      </c>
      <c r="C37" s="740">
        <v>6</v>
      </c>
      <c r="D37" s="739">
        <v>6.5000000000000002E-2</v>
      </c>
      <c r="E37" s="739">
        <v>0.05</v>
      </c>
      <c r="F37" s="734"/>
      <c r="G37" s="2"/>
      <c r="H37" s="2"/>
      <c r="I37" s="2"/>
      <c r="J37" s="2"/>
      <c r="K37" s="2"/>
      <c r="L37" s="2"/>
    </row>
    <row r="38" spans="1:12" ht="15.75" customHeight="1">
      <c r="A38" s="162"/>
      <c r="B38" s="737"/>
      <c r="C38" s="737"/>
      <c r="D38" s="734"/>
      <c r="E38" s="734"/>
      <c r="F38" s="734"/>
      <c r="G38" s="2"/>
      <c r="H38" s="2"/>
      <c r="I38" s="2"/>
      <c r="J38" s="2"/>
      <c r="K38" s="2"/>
      <c r="L38" s="2"/>
    </row>
    <row r="39" spans="1:12" ht="15.75" customHeight="1">
      <c r="A39" s="162"/>
      <c r="B39" s="738" t="s">
        <v>953</v>
      </c>
      <c r="C39" s="737"/>
      <c r="D39" s="734"/>
      <c r="E39" s="734"/>
      <c r="F39" s="734"/>
      <c r="G39" s="2"/>
      <c r="H39" s="2"/>
      <c r="I39" s="2"/>
      <c r="J39" s="2"/>
      <c r="K39" s="2"/>
      <c r="L39" s="2"/>
    </row>
    <row r="40" spans="1:12" ht="15.75" customHeight="1">
      <c r="A40" s="162"/>
      <c r="B40" s="736" t="s">
        <v>952</v>
      </c>
      <c r="C40" s="734"/>
      <c r="D40" s="734"/>
      <c r="E40" s="734"/>
      <c r="F40" s="734"/>
      <c r="G40" s="2"/>
      <c r="H40" s="2"/>
      <c r="I40" s="2"/>
      <c r="J40" s="2"/>
      <c r="K40" s="2"/>
      <c r="L40" s="2"/>
    </row>
    <row r="41" spans="1:12" ht="15.75" customHeight="1">
      <c r="A41" s="162"/>
      <c r="B41" s="1798" t="s">
        <v>951</v>
      </c>
      <c r="C41" s="1798"/>
      <c r="D41" s="735">
        <v>0.25</v>
      </c>
      <c r="E41" s="734"/>
      <c r="F41" s="734"/>
      <c r="G41" s="2"/>
      <c r="H41" s="2"/>
      <c r="I41" s="2"/>
      <c r="J41" s="2"/>
      <c r="K41" s="2"/>
      <c r="L41" s="2"/>
    </row>
    <row r="42" spans="1:12" ht="15.75" customHeight="1">
      <c r="A42" s="162"/>
      <c r="B42" s="1798" t="s">
        <v>950</v>
      </c>
      <c r="C42" s="1798"/>
      <c r="D42" s="735">
        <v>0.55000000000000004</v>
      </c>
      <c r="E42" s="734"/>
      <c r="F42" s="734"/>
      <c r="G42" s="2"/>
      <c r="H42" s="2"/>
      <c r="I42" s="2"/>
      <c r="J42" s="2"/>
      <c r="K42" s="2"/>
      <c r="L42" s="2"/>
    </row>
    <row r="43" spans="1:12" ht="15.75" customHeight="1">
      <c r="A43" s="162"/>
      <c r="B43" s="1798" t="s">
        <v>949</v>
      </c>
      <c r="C43" s="1798"/>
      <c r="D43" s="735">
        <v>0.2</v>
      </c>
      <c r="E43" s="734"/>
      <c r="F43" s="734"/>
      <c r="G43" s="2"/>
      <c r="H43" s="2"/>
      <c r="I43" s="2"/>
      <c r="J43" s="2"/>
      <c r="K43" s="2"/>
      <c r="L43" s="2"/>
    </row>
    <row r="44" spans="1:12" ht="15.75" customHeight="1">
      <c r="A44" s="3"/>
      <c r="B44" s="161"/>
      <c r="C44" s="2"/>
      <c r="D44" s="2"/>
      <c r="E44" s="2"/>
      <c r="F44" s="2"/>
      <c r="G44" s="2"/>
      <c r="H44" s="2"/>
      <c r="I44" s="2"/>
      <c r="J44" s="2"/>
      <c r="K44" s="2"/>
      <c r="L44" s="2"/>
    </row>
    <row r="45" spans="1:12" ht="15.75" customHeight="1">
      <c r="A45" s="3" t="s">
        <v>80</v>
      </c>
      <c r="B45" s="3" t="s">
        <v>948</v>
      </c>
      <c r="C45" s="3"/>
      <c r="D45" s="3"/>
      <c r="E45" s="3"/>
      <c r="F45" s="3"/>
      <c r="G45" s="3"/>
      <c r="H45" s="3"/>
      <c r="I45" s="2"/>
      <c r="J45" s="2"/>
      <c r="K45" s="2"/>
      <c r="L45" s="2"/>
    </row>
    <row r="46" spans="1:12" ht="15.75" customHeight="1">
      <c r="A46" s="3"/>
      <c r="B46" s="3" t="s">
        <v>947</v>
      </c>
      <c r="C46" s="3"/>
      <c r="D46" s="3"/>
      <c r="E46" s="3"/>
      <c r="F46" s="3"/>
      <c r="G46" s="3"/>
      <c r="H46" s="3"/>
      <c r="I46" s="2"/>
      <c r="J46" s="2"/>
      <c r="K46" s="2"/>
      <c r="L46" s="2"/>
    </row>
    <row r="47" spans="1:12" ht="15.75" customHeight="1">
      <c r="A47" s="3"/>
      <c r="B47" s="3" t="s">
        <v>946</v>
      </c>
      <c r="C47" s="3"/>
      <c r="D47" s="3"/>
      <c r="E47" s="3"/>
      <c r="F47" s="3"/>
      <c r="G47" s="3"/>
      <c r="H47" s="3"/>
      <c r="I47" s="2"/>
      <c r="J47" s="2"/>
      <c r="K47" s="2"/>
      <c r="L47" s="2"/>
    </row>
    <row r="48" spans="1:12" ht="15.75" customHeight="1">
      <c r="A48" s="3"/>
      <c r="B48" s="3" t="s">
        <v>945</v>
      </c>
      <c r="C48" s="3"/>
      <c r="D48" s="3"/>
      <c r="E48" s="3"/>
      <c r="F48" s="3"/>
      <c r="G48" s="3"/>
      <c r="H48" s="3"/>
      <c r="I48" s="2"/>
      <c r="J48" s="2"/>
      <c r="K48" s="2"/>
      <c r="L48" s="2"/>
    </row>
    <row r="49" spans="1:19" ht="15.75" customHeight="1">
      <c r="A49" s="3"/>
      <c r="B49" s="5" t="s">
        <v>64</v>
      </c>
      <c r="C49" s="4"/>
      <c r="D49" s="4"/>
      <c r="E49" s="4"/>
      <c r="F49" s="4"/>
      <c r="G49" s="4"/>
      <c r="H49" s="3"/>
      <c r="I49" s="3"/>
      <c r="J49" s="2"/>
      <c r="K49" s="2"/>
      <c r="L49" s="2"/>
    </row>
    <row r="50" spans="1:19" ht="15.75" customHeight="1">
      <c r="A50" s="187"/>
      <c r="B50" s="59"/>
      <c r="C50" s="188"/>
      <c r="D50" s="188"/>
      <c r="E50" s="188"/>
      <c r="F50" s="188"/>
      <c r="G50" s="188"/>
      <c r="H50" s="187"/>
      <c r="I50" s="187"/>
    </row>
    <row r="51" spans="1:19" ht="16.2">
      <c r="A51" s="37"/>
      <c r="B51" s="92"/>
      <c r="C51" s="170" t="s">
        <v>944</v>
      </c>
      <c r="D51" s="192"/>
      <c r="E51" s="192"/>
      <c r="F51" s="192"/>
      <c r="G51" s="192"/>
      <c r="H51" s="37"/>
      <c r="K51" s="37"/>
      <c r="L51" s="37"/>
    </row>
    <row r="52" spans="1:19">
      <c r="A52" s="37"/>
      <c r="B52" s="37" t="s">
        <v>943</v>
      </c>
      <c r="C52" s="722">
        <f>VLOOKUP($G$60,$B$29:$E$37,3)</f>
        <v>7.0000000000000007E-2</v>
      </c>
      <c r="D52" s="726"/>
      <c r="E52" s="192"/>
      <c r="F52" s="192"/>
      <c r="G52" s="1770" t="s">
        <v>942</v>
      </c>
      <c r="H52" s="1788"/>
      <c r="I52" s="1788"/>
      <c r="J52" s="37"/>
      <c r="K52" s="37"/>
      <c r="L52" s="37"/>
    </row>
    <row r="53" spans="1:19">
      <c r="A53" s="37"/>
      <c r="B53" s="37"/>
      <c r="C53" s="192"/>
      <c r="D53" s="726"/>
      <c r="E53" s="246" t="s">
        <v>941</v>
      </c>
      <c r="F53" s="9" t="s">
        <v>940</v>
      </c>
      <c r="G53" s="36" t="s">
        <v>919</v>
      </c>
      <c r="H53" s="246" t="s">
        <v>917</v>
      </c>
      <c r="I53" s="246" t="s">
        <v>939</v>
      </c>
      <c r="J53" s="37"/>
      <c r="K53" s="174"/>
      <c r="L53" s="246" t="s">
        <v>938</v>
      </c>
      <c r="M53" s="246" t="s">
        <v>937</v>
      </c>
      <c r="N53" s="174" t="s">
        <v>936</v>
      </c>
    </row>
    <row r="54" spans="1:19">
      <c r="A54" s="37"/>
      <c r="B54" s="37" t="s">
        <v>935</v>
      </c>
      <c r="C54" s="722">
        <f>VLOOKUP($H$60,$B$29:$E$37,4)</f>
        <v>7.4999999999999997E-2</v>
      </c>
      <c r="D54" s="726"/>
      <c r="E54" s="246">
        <v>1</v>
      </c>
      <c r="F54" s="9" t="s">
        <v>931</v>
      </c>
      <c r="G54" s="489">
        <f t="shared" ref="G54:H59" si="0">F13</f>
        <v>5</v>
      </c>
      <c r="H54" s="246">
        <f t="shared" si="0"/>
        <v>4</v>
      </c>
      <c r="I54" s="731">
        <f t="shared" ref="I54:I59" si="1">VLOOKUP(F54,$K$54:$N$56,4,FALSE)</f>
        <v>0.27500000000000002</v>
      </c>
      <c r="J54" s="37"/>
      <c r="K54" s="9" t="s">
        <v>933</v>
      </c>
      <c r="L54" s="616">
        <f>D41</f>
        <v>0.25</v>
      </c>
      <c r="M54" s="246">
        <f>COUNTIF($F$54:$F$59,K54)</f>
        <v>2</v>
      </c>
      <c r="N54" s="732">
        <f>L54/M54</f>
        <v>0.125</v>
      </c>
    </row>
    <row r="55" spans="1:19">
      <c r="A55" s="37"/>
      <c r="B55" s="37"/>
      <c r="C55" s="192"/>
      <c r="D55" s="726"/>
      <c r="E55" s="246">
        <v>2</v>
      </c>
      <c r="F55" s="9" t="s">
        <v>932</v>
      </c>
      <c r="G55" s="489">
        <f t="shared" si="0"/>
        <v>3</v>
      </c>
      <c r="H55" s="246">
        <f t="shared" si="0"/>
        <v>3</v>
      </c>
      <c r="I55" s="731">
        <f t="shared" si="1"/>
        <v>0.1</v>
      </c>
      <c r="J55" s="37"/>
      <c r="K55" s="9" t="s">
        <v>931</v>
      </c>
      <c r="L55" s="616">
        <f>D42</f>
        <v>0.55000000000000004</v>
      </c>
      <c r="M55" s="246">
        <f>COUNTIF($F$54:$F$59,K55)</f>
        <v>2</v>
      </c>
      <c r="N55" s="732">
        <f>L55/M55</f>
        <v>0.27500000000000002</v>
      </c>
    </row>
    <row r="56" spans="1:19" ht="15.75" customHeight="1">
      <c r="A56" s="37"/>
      <c r="B56" s="37" t="s">
        <v>934</v>
      </c>
      <c r="C56" s="733">
        <f>(C52^2*$F$63^2+C54^2*$F$64^2+2*C52*C54*$C$24*$F$63*$F$64)^0.5</f>
        <v>6.038497315744093E-2</v>
      </c>
      <c r="D56" s="726"/>
      <c r="E56" s="246">
        <v>3</v>
      </c>
      <c r="F56" s="9" t="s">
        <v>933</v>
      </c>
      <c r="G56" s="489">
        <f t="shared" si="0"/>
        <v>6</v>
      </c>
      <c r="H56" s="246">
        <f t="shared" si="0"/>
        <v>2</v>
      </c>
      <c r="I56" s="731">
        <f t="shared" si="1"/>
        <v>0.125</v>
      </c>
      <c r="J56" s="37"/>
      <c r="K56" s="9" t="s">
        <v>932</v>
      </c>
      <c r="L56" s="616">
        <f>D43</f>
        <v>0.2</v>
      </c>
      <c r="M56" s="246">
        <f>COUNTIF($F$54:$F$59,K56)</f>
        <v>2</v>
      </c>
      <c r="N56" s="732">
        <f>L56/M56</f>
        <v>0.1</v>
      </c>
      <c r="O56" s="1"/>
      <c r="P56" s="1"/>
      <c r="Q56" s="1"/>
      <c r="S56" s="1"/>
    </row>
    <row r="57" spans="1:19" ht="15.75" customHeight="1">
      <c r="A57" s="37"/>
      <c r="B57" s="37"/>
      <c r="C57" s="192"/>
      <c r="D57" s="726"/>
      <c r="E57" s="246">
        <v>4</v>
      </c>
      <c r="F57" s="9" t="s">
        <v>933</v>
      </c>
      <c r="G57" s="489">
        <f t="shared" si="0"/>
        <v>4</v>
      </c>
      <c r="H57" s="246">
        <f t="shared" si="0"/>
        <v>3</v>
      </c>
      <c r="I57" s="731">
        <f t="shared" si="1"/>
        <v>0.125</v>
      </c>
      <c r="J57" s="37"/>
      <c r="K57" s="37"/>
      <c r="L57" s="37"/>
      <c r="O57" s="1"/>
      <c r="P57" s="1"/>
      <c r="Q57" s="1"/>
      <c r="S57" s="1"/>
    </row>
    <row r="58" spans="1:19" ht="15.75" customHeight="1">
      <c r="A58" s="37"/>
      <c r="B58" s="37"/>
      <c r="C58" s="192"/>
      <c r="D58" s="726"/>
      <c r="E58" s="36">
        <v>5</v>
      </c>
      <c r="F58" s="9" t="s">
        <v>932</v>
      </c>
      <c r="G58" s="489">
        <f t="shared" si="0"/>
        <v>3</v>
      </c>
      <c r="H58" s="246">
        <f t="shared" si="0"/>
        <v>5</v>
      </c>
      <c r="I58" s="731">
        <f t="shared" si="1"/>
        <v>0.1</v>
      </c>
      <c r="J58" s="37"/>
      <c r="K58" s="37"/>
      <c r="L58" s="37"/>
      <c r="O58" s="1"/>
      <c r="P58" s="1"/>
      <c r="Q58" s="1"/>
      <c r="S58" s="1"/>
    </row>
    <row r="59" spans="1:19" ht="15.75" customHeight="1">
      <c r="A59" s="37"/>
      <c r="B59" s="37"/>
      <c r="C59" s="192"/>
      <c r="D59" s="726"/>
      <c r="E59" s="36">
        <v>6</v>
      </c>
      <c r="F59" s="9" t="s">
        <v>931</v>
      </c>
      <c r="G59" s="489">
        <f t="shared" si="0"/>
        <v>5</v>
      </c>
      <c r="H59" s="246">
        <f t="shared" si="0"/>
        <v>3</v>
      </c>
      <c r="I59" s="731">
        <f t="shared" si="1"/>
        <v>0.27500000000000002</v>
      </c>
      <c r="J59" s="37"/>
      <c r="K59" s="37"/>
      <c r="L59" s="37"/>
      <c r="O59" s="1"/>
      <c r="P59" s="1"/>
      <c r="Q59" s="1"/>
      <c r="S59" s="1"/>
    </row>
    <row r="60" spans="1:19" ht="15.75" customHeight="1">
      <c r="A60" s="37"/>
      <c r="B60" s="37"/>
      <c r="C60" s="192"/>
      <c r="D60" s="726"/>
      <c r="E60" s="9"/>
      <c r="F60" s="9" t="s">
        <v>930</v>
      </c>
      <c r="G60" s="730">
        <f>SUMPRODUCT($I$54:$I$59,G54:G59)</f>
        <v>4.5999999999999996</v>
      </c>
      <c r="H60" s="246">
        <f>SUMPRODUCT($I$54:$I$59,H54:H59)</f>
        <v>3.3500000000000005</v>
      </c>
      <c r="I60" s="246"/>
      <c r="J60" s="37"/>
      <c r="K60" s="37"/>
      <c r="L60" s="37"/>
      <c r="O60" s="1"/>
      <c r="P60" s="1"/>
      <c r="Q60" s="1"/>
      <c r="S60" s="1"/>
    </row>
    <row r="61" spans="1:19" ht="15.75" customHeight="1">
      <c r="A61" s="37"/>
      <c r="B61" s="37"/>
      <c r="C61" s="192"/>
      <c r="D61" s="726"/>
      <c r="F61" s="37"/>
      <c r="G61" s="729"/>
      <c r="H61" s="729"/>
      <c r="I61" s="37"/>
      <c r="J61" s="727"/>
      <c r="K61" s="37"/>
      <c r="M61" s="1"/>
      <c r="P61" s="1"/>
      <c r="Q61" s="1"/>
      <c r="S61" s="1"/>
    </row>
    <row r="62" spans="1:19" ht="15.75" customHeight="1">
      <c r="A62" s="37"/>
      <c r="B62" s="37"/>
      <c r="C62" s="192"/>
      <c r="D62" s="726"/>
      <c r="E62" s="728"/>
      <c r="F62" s="246" t="s">
        <v>929</v>
      </c>
      <c r="H62" s="37"/>
      <c r="I62" s="37"/>
      <c r="J62" s="727"/>
      <c r="K62" s="37"/>
      <c r="M62" s="1"/>
      <c r="P62" s="1"/>
      <c r="Q62" s="1"/>
      <c r="S62" s="1"/>
    </row>
    <row r="63" spans="1:19" ht="15.75" customHeight="1">
      <c r="A63" s="37"/>
      <c r="B63" s="37"/>
      <c r="C63" s="192"/>
      <c r="D63" s="726"/>
      <c r="E63" s="174" t="s">
        <v>919</v>
      </c>
      <c r="F63" s="725">
        <f>F8/SUM(F8:G8)</f>
        <v>0.68278678065586318</v>
      </c>
      <c r="H63" s="37"/>
      <c r="I63" s="37"/>
      <c r="J63" s="727"/>
      <c r="K63" s="37"/>
      <c r="M63" s="1"/>
      <c r="P63" s="1"/>
      <c r="Q63" s="1"/>
      <c r="S63" s="1"/>
    </row>
    <row r="64" spans="1:19" ht="15.75" customHeight="1">
      <c r="A64" s="37"/>
      <c r="B64" s="37"/>
      <c r="C64" s="192"/>
      <c r="D64" s="726"/>
      <c r="E64" s="174" t="s">
        <v>917</v>
      </c>
      <c r="F64" s="725">
        <f>1-F63</f>
        <v>0.31721321934413682</v>
      </c>
      <c r="H64" s="37"/>
      <c r="M64" s="1"/>
      <c r="N64" s="1"/>
      <c r="O64" s="1"/>
      <c r="P64" s="1"/>
      <c r="Q64" s="1"/>
      <c r="R64" s="1"/>
      <c r="S64" s="1"/>
    </row>
    <row r="65" spans="1:20" ht="15.75" customHeight="1">
      <c r="A65" s="37"/>
      <c r="B65" s="37"/>
      <c r="C65" s="37"/>
      <c r="D65" s="37"/>
      <c r="E65" s="37"/>
      <c r="F65" s="37"/>
      <c r="H65" s="37"/>
      <c r="I65" s="37"/>
      <c r="J65" s="37"/>
      <c r="K65" s="37"/>
      <c r="L65" s="87"/>
    </row>
    <row r="66" spans="1:20" ht="15.75" customHeight="1">
      <c r="A66" s="3" t="s">
        <v>928</v>
      </c>
      <c r="B66" s="3"/>
      <c r="C66" s="3"/>
      <c r="D66" s="3"/>
      <c r="E66" s="3"/>
      <c r="F66" s="3"/>
      <c r="G66" s="3"/>
      <c r="H66" s="3"/>
      <c r="I66" s="3"/>
      <c r="J66" s="3"/>
      <c r="K66" s="3"/>
      <c r="L66" s="3"/>
    </row>
    <row r="67" spans="1:20" ht="15.75" customHeight="1">
      <c r="A67" s="3"/>
      <c r="B67" s="3"/>
      <c r="C67" s="3"/>
      <c r="D67" s="3"/>
      <c r="E67" s="3"/>
      <c r="F67" s="3"/>
      <c r="G67" s="3"/>
      <c r="H67" s="3"/>
      <c r="I67" s="3"/>
      <c r="J67" s="3"/>
      <c r="K67" s="3"/>
      <c r="L67" s="3"/>
    </row>
    <row r="68" spans="1:20" ht="15.75" customHeight="1">
      <c r="A68" s="3"/>
      <c r="B68" s="466" t="s">
        <v>918</v>
      </c>
      <c r="C68" s="466" t="s">
        <v>916</v>
      </c>
      <c r="D68" s="466" t="s">
        <v>927</v>
      </c>
      <c r="E68" s="3"/>
      <c r="F68" s="3"/>
      <c r="G68" s="3"/>
      <c r="H68" s="3"/>
      <c r="I68" s="3"/>
      <c r="J68" s="3"/>
      <c r="K68" s="3"/>
      <c r="L68" s="3"/>
    </row>
    <row r="69" spans="1:20" ht="15.75" customHeight="1">
      <c r="A69" s="3"/>
      <c r="B69" s="724">
        <v>6.5000000000000002E-2</v>
      </c>
      <c r="C69" s="724">
        <v>0.06</v>
      </c>
      <c r="D69" s="724">
        <v>5.2400000000000002E-2</v>
      </c>
      <c r="E69" s="3"/>
      <c r="F69" s="3"/>
      <c r="G69" s="3"/>
      <c r="H69" s="3"/>
      <c r="I69" s="3"/>
      <c r="J69" s="3"/>
      <c r="K69" s="3"/>
      <c r="L69" s="3"/>
    </row>
    <row r="70" spans="1:20" ht="15.75" customHeight="1">
      <c r="A70" s="3"/>
      <c r="B70" s="3"/>
      <c r="C70" s="3"/>
      <c r="D70" s="3"/>
      <c r="E70" s="3"/>
      <c r="F70" s="3"/>
      <c r="G70" s="3"/>
      <c r="H70" s="3"/>
      <c r="I70" s="3"/>
      <c r="J70" s="3"/>
      <c r="K70" s="3"/>
      <c r="L70" s="3"/>
    </row>
    <row r="71" spans="1:20" ht="15.6" customHeight="1">
      <c r="A71" s="3" t="s">
        <v>9</v>
      </c>
      <c r="B71" s="3" t="s">
        <v>926</v>
      </c>
      <c r="C71" s="3"/>
      <c r="D71" s="3"/>
      <c r="E71" s="3"/>
      <c r="F71" s="3"/>
      <c r="G71" s="3"/>
      <c r="H71" s="3"/>
      <c r="I71" s="2"/>
      <c r="J71" s="2"/>
      <c r="K71" s="2"/>
      <c r="L71" s="2"/>
    </row>
    <row r="72" spans="1:20" ht="16.2">
      <c r="A72" s="3"/>
      <c r="B72" s="5" t="s">
        <v>64</v>
      </c>
      <c r="C72" s="4"/>
      <c r="D72" s="4"/>
      <c r="E72" s="4"/>
      <c r="F72" s="4"/>
      <c r="G72" s="4"/>
      <c r="H72" s="3"/>
      <c r="I72" s="3"/>
      <c r="J72" s="2"/>
      <c r="K72" s="2"/>
      <c r="L72" s="2"/>
    </row>
    <row r="73" spans="1:20" ht="16.2">
      <c r="A73" s="37"/>
      <c r="B73" s="92"/>
      <c r="C73" s="37"/>
      <c r="D73" s="37"/>
      <c r="E73" s="37"/>
      <c r="F73" s="190"/>
      <c r="G73" s="190"/>
      <c r="H73" s="190"/>
      <c r="I73" s="190"/>
      <c r="J73" s="190"/>
      <c r="K73" s="190"/>
      <c r="L73" s="37"/>
    </row>
    <row r="74" spans="1:20">
      <c r="A74" s="37"/>
      <c r="B74" s="170" t="s">
        <v>925</v>
      </c>
      <c r="C74" s="37"/>
      <c r="D74" s="37"/>
      <c r="I74" s="190"/>
      <c r="J74" s="503" t="s">
        <v>845</v>
      </c>
      <c r="K74" s="723"/>
      <c r="L74" s="723"/>
      <c r="M74" s="502"/>
      <c r="P74" s="503" t="s">
        <v>924</v>
      </c>
      <c r="Q74" s="723"/>
      <c r="R74" s="723"/>
      <c r="S74" s="502"/>
    </row>
    <row r="75" spans="1:20">
      <c r="A75" s="37"/>
      <c r="B75" s="722">
        <f>SUMPRODUCT(E81:H84,K81:N84,Q81:T84)^0.5</f>
        <v>5.0089485710169988E-2</v>
      </c>
      <c r="C75" s="37"/>
      <c r="D75" s="37"/>
      <c r="I75" s="190"/>
      <c r="J75" s="174"/>
      <c r="K75" s="174" t="s">
        <v>855</v>
      </c>
      <c r="L75" s="174" t="s">
        <v>854</v>
      </c>
      <c r="M75" s="174" t="s">
        <v>98</v>
      </c>
      <c r="P75" s="174"/>
      <c r="Q75" s="174" t="s">
        <v>855</v>
      </c>
      <c r="R75" s="174" t="s">
        <v>854</v>
      </c>
      <c r="S75" s="174" t="s">
        <v>98</v>
      </c>
    </row>
    <row r="76" spans="1:20">
      <c r="A76" s="37"/>
      <c r="C76" s="37"/>
      <c r="D76" s="37"/>
      <c r="I76" s="190"/>
      <c r="J76" s="174" t="s">
        <v>923</v>
      </c>
      <c r="K76" s="721">
        <f>C52</f>
        <v>7.0000000000000007E-2</v>
      </c>
      <c r="L76" s="721">
        <f>C54</f>
        <v>7.4999999999999997E-2</v>
      </c>
      <c r="M76" s="721">
        <f>C56</f>
        <v>6.038497315744093E-2</v>
      </c>
      <c r="P76" s="174" t="s">
        <v>923</v>
      </c>
      <c r="Q76" s="721">
        <f>F8/SUM($F$8:$G$9)</f>
        <v>0.33349953256466192</v>
      </c>
      <c r="R76" s="721">
        <f>G8/SUM($F$8:$G$9)</f>
        <v>0.15493923340604548</v>
      </c>
      <c r="S76" s="721">
        <f>SUM(Q76:R76)</f>
        <v>0.4884387659707074</v>
      </c>
    </row>
    <row r="77" spans="1:20" ht="16.2">
      <c r="A77" s="37"/>
      <c r="B77" s="92"/>
      <c r="C77" s="37"/>
      <c r="D77" s="37"/>
      <c r="I77" s="190"/>
      <c r="J77" s="174" t="s">
        <v>922</v>
      </c>
      <c r="K77" s="721">
        <f>B69</f>
        <v>6.5000000000000002E-2</v>
      </c>
      <c r="L77" s="721">
        <f>C69</f>
        <v>0.06</v>
      </c>
      <c r="M77" s="721">
        <f>D69</f>
        <v>5.2400000000000002E-2</v>
      </c>
      <c r="P77" s="174" t="s">
        <v>922</v>
      </c>
      <c r="Q77" s="721">
        <f>F9/SUM($F$8:$G$9)</f>
        <v>0.26269866001869741</v>
      </c>
      <c r="R77" s="721">
        <f>G9/SUM($F$8:$G$9)</f>
        <v>0.24886257401059519</v>
      </c>
      <c r="S77" s="721">
        <f>SUM(Q77:R77)</f>
        <v>0.51156123402929254</v>
      </c>
    </row>
    <row r="78" spans="1:20" ht="16.2">
      <c r="A78" s="37"/>
      <c r="B78" s="92"/>
      <c r="C78" s="37"/>
      <c r="D78" s="37"/>
      <c r="E78" s="37"/>
      <c r="F78" s="190"/>
      <c r="G78" s="190"/>
      <c r="H78" s="190"/>
      <c r="I78" s="190"/>
      <c r="J78" s="190"/>
      <c r="L78" s="37"/>
      <c r="Q78" s="1"/>
    </row>
    <row r="79" spans="1:20" ht="16.2">
      <c r="A79" s="37"/>
      <c r="B79" s="92"/>
      <c r="C79" s="37"/>
      <c r="D79" s="538" t="str">
        <f>B20</f>
        <v>Internal Systemic Risk Correlation Matrix</v>
      </c>
      <c r="E79" s="720"/>
      <c r="F79" s="719"/>
      <c r="G79" s="719"/>
      <c r="H79" s="718"/>
      <c r="I79" s="190"/>
      <c r="J79" s="538" t="s">
        <v>921</v>
      </c>
      <c r="K79" s="720"/>
      <c r="L79" s="719"/>
      <c r="M79" s="719"/>
      <c r="N79" s="718"/>
      <c r="P79" s="538" t="s">
        <v>920</v>
      </c>
      <c r="Q79" s="719"/>
      <c r="R79" s="719"/>
      <c r="S79" s="719"/>
      <c r="T79" s="718"/>
    </row>
    <row r="80" spans="1:20" ht="16.2">
      <c r="A80" s="37"/>
      <c r="B80" s="92"/>
      <c r="C80" s="37"/>
      <c r="D80" s="717"/>
      <c r="E80" s="714" t="s">
        <v>919</v>
      </c>
      <c r="F80" s="174" t="s">
        <v>918</v>
      </c>
      <c r="G80" s="174" t="s">
        <v>917</v>
      </c>
      <c r="H80" s="174" t="s">
        <v>916</v>
      </c>
      <c r="I80" s="190"/>
      <c r="J80" s="714"/>
      <c r="K80" s="714" t="s">
        <v>919</v>
      </c>
      <c r="L80" s="174" t="s">
        <v>918</v>
      </c>
      <c r="M80" s="174" t="s">
        <v>917</v>
      </c>
      <c r="N80" s="174" t="s">
        <v>916</v>
      </c>
      <c r="P80" s="714"/>
      <c r="Q80" s="174" t="s">
        <v>919</v>
      </c>
      <c r="R80" s="174" t="s">
        <v>918</v>
      </c>
      <c r="S80" s="174" t="s">
        <v>917</v>
      </c>
      <c r="T80" s="174" t="s">
        <v>916</v>
      </c>
    </row>
    <row r="81" spans="1:20" ht="16.2">
      <c r="A81" s="37"/>
      <c r="B81" s="92"/>
      <c r="C81" s="37"/>
      <c r="D81" s="714" t="s">
        <v>919</v>
      </c>
      <c r="E81" s="715">
        <f t="shared" ref="E81:H84" si="2">C22</f>
        <v>1</v>
      </c>
      <c r="F81" s="715">
        <f t="shared" si="2"/>
        <v>0.6</v>
      </c>
      <c r="G81" s="715">
        <f t="shared" si="2"/>
        <v>0.35</v>
      </c>
      <c r="H81" s="715">
        <f t="shared" si="2"/>
        <v>0.3</v>
      </c>
      <c r="I81" s="190"/>
      <c r="J81" s="714" t="s">
        <v>919</v>
      </c>
      <c r="K81" s="713">
        <f>K$76*K76</f>
        <v>4.9000000000000007E-3</v>
      </c>
      <c r="L81" s="711">
        <f>K82</f>
        <v>4.5500000000000002E-3</v>
      </c>
      <c r="M81" s="712">
        <f>K83</f>
        <v>5.2500000000000003E-3</v>
      </c>
      <c r="N81" s="712">
        <f>K84</f>
        <v>4.2000000000000006E-3</v>
      </c>
      <c r="P81" s="174" t="s">
        <v>919</v>
      </c>
      <c r="Q81" s="710">
        <f>$Q$76*Q76</f>
        <v>0.111221938220848</v>
      </c>
      <c r="R81" s="716">
        <f>Q82</f>
        <v>8.7609880321598624E-2</v>
      </c>
      <c r="S81" s="710">
        <f>Q83</f>
        <v>5.1672161916843221E-2</v>
      </c>
      <c r="T81" s="710">
        <f>Q84</f>
        <v>8.2995552105372072E-2</v>
      </c>
    </row>
    <row r="82" spans="1:20" ht="16.2">
      <c r="A82" s="37"/>
      <c r="B82" s="92"/>
      <c r="C82" s="37"/>
      <c r="D82" s="714" t="s">
        <v>918</v>
      </c>
      <c r="E82" s="715">
        <f t="shared" si="2"/>
        <v>0.6</v>
      </c>
      <c r="F82" s="715">
        <f t="shared" si="2"/>
        <v>1</v>
      </c>
      <c r="G82" s="715">
        <f t="shared" si="2"/>
        <v>0.15</v>
      </c>
      <c r="H82" s="715">
        <f t="shared" si="2"/>
        <v>0.4</v>
      </c>
      <c r="I82" s="190"/>
      <c r="J82" s="714" t="s">
        <v>918</v>
      </c>
      <c r="K82" s="713">
        <f>K$76*K77</f>
        <v>4.5500000000000002E-3</v>
      </c>
      <c r="L82" s="711">
        <f>K$77*K77</f>
        <v>4.2250000000000005E-3</v>
      </c>
      <c r="M82" s="712">
        <f>L83</f>
        <v>4.875E-3</v>
      </c>
      <c r="N82" s="712">
        <f>L84</f>
        <v>3.8999999999999998E-3</v>
      </c>
      <c r="P82" s="174" t="s">
        <v>918</v>
      </c>
      <c r="Q82" s="710">
        <f>$Q$76*Q77</f>
        <v>8.7609880321598624E-2</v>
      </c>
      <c r="R82" s="710">
        <f>$Q$77*Q77</f>
        <v>6.9010585975619168E-2</v>
      </c>
      <c r="S82" s="710">
        <f>R83</f>
        <v>4.0702329000092345E-2</v>
      </c>
      <c r="T82" s="710">
        <f>R84</f>
        <v>6.5375864721387261E-2</v>
      </c>
    </row>
    <row r="83" spans="1:20" ht="16.2">
      <c r="A83" s="37"/>
      <c r="B83" s="92"/>
      <c r="C83" s="37"/>
      <c r="D83" s="714" t="s">
        <v>917</v>
      </c>
      <c r="E83" s="715">
        <f t="shared" si="2"/>
        <v>0.35</v>
      </c>
      <c r="F83" s="715">
        <f t="shared" si="2"/>
        <v>0.15</v>
      </c>
      <c r="G83" s="715">
        <f t="shared" si="2"/>
        <v>1</v>
      </c>
      <c r="H83" s="715">
        <f t="shared" si="2"/>
        <v>0.5</v>
      </c>
      <c r="I83" s="190"/>
      <c r="J83" s="714" t="s">
        <v>917</v>
      </c>
      <c r="K83" s="713">
        <f>K$76*L76</f>
        <v>5.2500000000000003E-3</v>
      </c>
      <c r="L83" s="711">
        <f>K$77*L76</f>
        <v>4.875E-3</v>
      </c>
      <c r="M83" s="711">
        <f>L$76*L76</f>
        <v>5.6249999999999998E-3</v>
      </c>
      <c r="N83" s="712">
        <f>M84</f>
        <v>4.4999999999999997E-3</v>
      </c>
      <c r="P83" s="174" t="s">
        <v>917</v>
      </c>
      <c r="Q83" s="710">
        <f>$Q$76*R76</f>
        <v>5.1672161916843221E-2</v>
      </c>
      <c r="R83" s="710">
        <f>$Q$77*R76</f>
        <v>4.0702329000092345E-2</v>
      </c>
      <c r="S83" s="710">
        <f>$R$76*R76</f>
        <v>2.4006166048453043E-2</v>
      </c>
      <c r="T83" s="710">
        <f>S84</f>
        <v>3.8558576440656876E-2</v>
      </c>
    </row>
    <row r="84" spans="1:20" ht="16.2">
      <c r="A84" s="37"/>
      <c r="B84" s="92"/>
      <c r="C84" s="37"/>
      <c r="D84" s="714" t="s">
        <v>916</v>
      </c>
      <c r="E84" s="715">
        <f t="shared" si="2"/>
        <v>0.3</v>
      </c>
      <c r="F84" s="715">
        <f t="shared" si="2"/>
        <v>0.4</v>
      </c>
      <c r="G84" s="715">
        <f t="shared" si="2"/>
        <v>0.5</v>
      </c>
      <c r="H84" s="715">
        <f t="shared" si="2"/>
        <v>1</v>
      </c>
      <c r="I84" s="190"/>
      <c r="J84" s="714" t="s">
        <v>916</v>
      </c>
      <c r="K84" s="713">
        <f>K$76*L77</f>
        <v>4.2000000000000006E-3</v>
      </c>
      <c r="L84" s="711">
        <f>K$77*L77</f>
        <v>3.8999999999999998E-3</v>
      </c>
      <c r="M84" s="712">
        <f>L77*L76</f>
        <v>4.4999999999999997E-3</v>
      </c>
      <c r="N84" s="711">
        <f>L$77*L77</f>
        <v>3.5999999999999999E-3</v>
      </c>
      <c r="P84" s="174" t="s">
        <v>916</v>
      </c>
      <c r="Q84" s="710">
        <f>$Q$76*R77</f>
        <v>8.2995552105372072E-2</v>
      </c>
      <c r="R84" s="710">
        <f>$Q$77*R77</f>
        <v>6.5375864721387261E-2</v>
      </c>
      <c r="S84" s="710">
        <f>$R$76*R77</f>
        <v>3.8558576440656876E-2</v>
      </c>
      <c r="T84" s="710">
        <f>$R$77*R77</f>
        <v>6.1932580743178971E-2</v>
      </c>
    </row>
    <row r="85" spans="1:20" ht="16.2">
      <c r="A85" s="37"/>
      <c r="B85" s="92"/>
      <c r="C85" s="37"/>
      <c r="D85" s="37"/>
      <c r="E85" s="37"/>
      <c r="F85" s="190"/>
      <c r="G85" s="190"/>
      <c r="H85" s="190"/>
      <c r="I85" s="190"/>
      <c r="J85" s="190"/>
      <c r="K85" s="190"/>
      <c r="L85" s="37"/>
    </row>
    <row r="86" spans="1:20" ht="16.2">
      <c r="A86" s="3" t="s">
        <v>915</v>
      </c>
      <c r="B86" s="5"/>
      <c r="C86" s="3"/>
      <c r="D86" s="3"/>
      <c r="E86" s="3"/>
      <c r="F86" s="135"/>
      <c r="G86" s="135"/>
      <c r="H86" s="135"/>
      <c r="I86" s="135"/>
      <c r="J86" s="135"/>
      <c r="K86" s="135"/>
      <c r="L86" s="3"/>
    </row>
    <row r="87" spans="1:20" ht="16.2">
      <c r="A87" s="3"/>
      <c r="B87" s="5"/>
      <c r="C87" s="3"/>
      <c r="D87" s="3"/>
      <c r="E87" s="3"/>
      <c r="F87" s="135"/>
      <c r="G87" s="135"/>
      <c r="H87" s="135"/>
      <c r="I87" s="135"/>
      <c r="J87" s="135"/>
      <c r="K87" s="135"/>
      <c r="L87" s="3"/>
    </row>
    <row r="88" spans="1:20">
      <c r="A88" s="3"/>
      <c r="B88" s="1789" t="s">
        <v>914</v>
      </c>
      <c r="C88" s="1789"/>
      <c r="D88" s="1789"/>
      <c r="E88" s="3"/>
      <c r="F88" s="135"/>
      <c r="G88" s="135"/>
      <c r="H88" s="135"/>
      <c r="I88" s="135"/>
      <c r="J88" s="135"/>
      <c r="K88" s="135"/>
      <c r="L88" s="3"/>
    </row>
    <row r="89" spans="1:20">
      <c r="A89" s="3"/>
      <c r="B89" s="1779" t="s">
        <v>913</v>
      </c>
      <c r="C89" s="1779"/>
      <c r="D89" s="709">
        <v>5.2499999999999998E-2</v>
      </c>
      <c r="E89" s="3"/>
      <c r="F89" s="135"/>
      <c r="G89" s="135"/>
      <c r="H89" s="135"/>
      <c r="I89" s="135"/>
      <c r="J89" s="135"/>
      <c r="K89" s="135"/>
      <c r="L89" s="3"/>
    </row>
    <row r="90" spans="1:20">
      <c r="A90" s="3"/>
      <c r="B90" s="1779" t="s">
        <v>849</v>
      </c>
      <c r="C90" s="1779"/>
      <c r="D90" s="709">
        <v>7.5999999999999998E-2</v>
      </c>
      <c r="E90" s="3"/>
      <c r="F90" s="135"/>
      <c r="G90" s="135"/>
      <c r="H90" s="135"/>
      <c r="I90" s="135"/>
      <c r="J90" s="135"/>
      <c r="K90" s="135"/>
      <c r="L90" s="3"/>
    </row>
    <row r="91" spans="1:20" ht="16.2">
      <c r="A91" s="3"/>
      <c r="B91" s="5"/>
      <c r="C91" s="3"/>
      <c r="D91" s="3"/>
      <c r="E91" s="3"/>
      <c r="F91" s="135"/>
      <c r="G91" s="135"/>
      <c r="H91" s="135"/>
      <c r="I91" s="135"/>
      <c r="J91" s="135"/>
      <c r="K91" s="135"/>
      <c r="L91" s="3"/>
    </row>
    <row r="92" spans="1:20">
      <c r="A92" s="3"/>
      <c r="B92" s="3" t="s">
        <v>912</v>
      </c>
      <c r="C92" s="3"/>
      <c r="D92" s="3"/>
      <c r="E92" s="3"/>
      <c r="F92" s="135"/>
      <c r="G92" s="135"/>
      <c r="H92" s="135"/>
      <c r="I92" s="135"/>
      <c r="J92" s="135"/>
      <c r="K92" s="707" t="s">
        <v>911</v>
      </c>
      <c r="L92" s="708">
        <v>0.2</v>
      </c>
    </row>
    <row r="93" spans="1:20">
      <c r="A93" s="3"/>
      <c r="B93" s="3" t="s">
        <v>910</v>
      </c>
      <c r="C93" s="3"/>
      <c r="D93" s="3"/>
      <c r="E93" s="3"/>
      <c r="F93" s="135"/>
      <c r="G93" s="135"/>
      <c r="H93" s="135"/>
      <c r="I93" s="135"/>
      <c r="J93" s="135"/>
      <c r="K93" s="707"/>
      <c r="L93" s="3"/>
    </row>
    <row r="94" spans="1:20">
      <c r="A94" s="3"/>
      <c r="B94" s="3" t="s">
        <v>909</v>
      </c>
      <c r="C94" s="3"/>
      <c r="D94" s="3"/>
      <c r="E94" s="3"/>
      <c r="F94" s="135"/>
      <c r="G94" s="135"/>
      <c r="H94" s="135"/>
      <c r="I94" s="135"/>
      <c r="J94" s="135"/>
      <c r="K94" s="707" t="s">
        <v>908</v>
      </c>
      <c r="L94" s="706">
        <f>_xlfn.NORM.S.INV(0.75)</f>
        <v>0.67448975019608193</v>
      </c>
    </row>
    <row r="95" spans="1:20" ht="16.2">
      <c r="A95" s="3"/>
      <c r="B95" s="5"/>
      <c r="C95" s="3"/>
      <c r="D95" s="3"/>
      <c r="E95" s="3"/>
      <c r="F95" s="135"/>
      <c r="G95" s="135"/>
      <c r="H95" s="135"/>
      <c r="I95" s="135"/>
      <c r="J95" s="135"/>
      <c r="K95" s="135"/>
      <c r="L95" s="3"/>
    </row>
    <row r="96" spans="1:20" ht="15.75" customHeight="1">
      <c r="A96" s="3" t="s">
        <v>7</v>
      </c>
      <c r="B96" s="3" t="s">
        <v>907</v>
      </c>
      <c r="C96" s="5"/>
      <c r="D96" s="3"/>
      <c r="E96" s="3"/>
      <c r="F96" s="3"/>
      <c r="G96" s="3"/>
      <c r="H96" s="3"/>
      <c r="I96" s="2"/>
      <c r="J96" s="2"/>
      <c r="K96" s="2"/>
      <c r="L96" s="2"/>
    </row>
    <row r="97" spans="1:12" ht="15.75" customHeight="1">
      <c r="A97" s="5"/>
      <c r="B97" s="5" t="s">
        <v>64</v>
      </c>
      <c r="C97" s="4"/>
      <c r="D97" s="4"/>
      <c r="E97" s="4"/>
      <c r="F97" s="4"/>
      <c r="G97" s="4"/>
      <c r="H97" s="3"/>
      <c r="I97" s="3"/>
      <c r="J97" s="2"/>
      <c r="K97" s="2"/>
      <c r="L97" s="2"/>
    </row>
    <row r="98" spans="1:12" ht="15.75" customHeight="1">
      <c r="A98" s="37"/>
      <c r="B98" s="92"/>
      <c r="C98" s="37"/>
      <c r="D98" s="37"/>
      <c r="E98" s="37"/>
      <c r="F98" s="190"/>
      <c r="G98" s="190"/>
      <c r="H98" s="190"/>
      <c r="I98" s="190"/>
      <c r="J98" s="190"/>
      <c r="K98" s="190"/>
      <c r="L98" s="37"/>
    </row>
    <row r="99" spans="1:12" ht="15.75" customHeight="1">
      <c r="A99" s="37"/>
      <c r="B99" s="170" t="s">
        <v>906</v>
      </c>
      <c r="C99" s="37"/>
      <c r="D99" s="37"/>
      <c r="E99" s="37"/>
      <c r="F99" s="190"/>
      <c r="G99" s="190"/>
      <c r="H99" s="190"/>
      <c r="I99" s="190"/>
      <c r="J99" s="190"/>
      <c r="K99" s="190"/>
      <c r="L99" s="37"/>
    </row>
    <row r="100" spans="1:12" ht="15.75" customHeight="1">
      <c r="A100" s="37"/>
      <c r="B100" s="705">
        <f>L94*SUM(F8:G9)*((D89^2+B75^2+D90^2+2*L92*B75*D90)^0.5)</f>
        <v>1213047.4158779252</v>
      </c>
      <c r="C100" s="37"/>
      <c r="D100" s="37"/>
      <c r="E100" s="37"/>
      <c r="F100" s="190"/>
      <c r="G100" s="190"/>
      <c r="H100" s="190"/>
      <c r="I100" s="190"/>
      <c r="J100" s="190"/>
      <c r="K100" s="190"/>
      <c r="L100" s="37"/>
    </row>
    <row r="101" spans="1:12" ht="15.75" customHeight="1">
      <c r="A101" s="37"/>
      <c r="B101" s="92"/>
      <c r="C101" s="37"/>
      <c r="D101" s="37"/>
      <c r="E101" s="37"/>
      <c r="F101" s="190"/>
      <c r="G101" s="190"/>
      <c r="H101" s="190"/>
      <c r="I101" s="190"/>
      <c r="J101" s="190"/>
      <c r="K101" s="190"/>
      <c r="L101" s="37"/>
    </row>
    <row r="102" spans="1:12" ht="15.75" customHeight="1">
      <c r="A102" s="37"/>
      <c r="B102" s="92"/>
      <c r="C102" s="37"/>
      <c r="D102" s="37"/>
      <c r="E102" s="37"/>
      <c r="F102" s="190"/>
      <c r="G102" s="190"/>
      <c r="H102" s="190"/>
      <c r="I102" s="190"/>
      <c r="J102" s="190"/>
      <c r="K102" s="190"/>
      <c r="L102" s="37"/>
    </row>
    <row r="103" spans="1:12" ht="15.75" customHeight="1">
      <c r="A103" s="37"/>
      <c r="B103" s="704"/>
      <c r="C103" s="37"/>
      <c r="D103" s="37"/>
      <c r="E103" s="37"/>
      <c r="F103" s="190"/>
      <c r="G103" s="190"/>
      <c r="H103" s="190"/>
      <c r="I103" s="190"/>
      <c r="J103" s="190"/>
      <c r="K103" s="190"/>
      <c r="L103" s="37"/>
    </row>
    <row r="104" spans="1:12" ht="15.75" customHeight="1">
      <c r="A104" s="37"/>
      <c r="B104" s="703"/>
      <c r="C104" s="37"/>
      <c r="D104" s="37"/>
      <c r="E104" s="37"/>
      <c r="F104" s="190"/>
      <c r="G104" s="190"/>
      <c r="H104" s="190"/>
      <c r="I104" s="190"/>
      <c r="J104" s="190"/>
      <c r="K104" s="190"/>
      <c r="L104" s="37"/>
    </row>
    <row r="105" spans="1:12" ht="15.75" customHeight="1">
      <c r="A105" s="37"/>
      <c r="B105" s="702"/>
      <c r="C105" s="37"/>
      <c r="D105" s="37"/>
      <c r="E105" s="37"/>
      <c r="F105" s="190"/>
      <c r="G105" s="190"/>
      <c r="H105" s="190"/>
      <c r="I105" s="190"/>
      <c r="J105" s="190"/>
      <c r="K105" s="190"/>
      <c r="L105" s="37"/>
    </row>
    <row r="106" spans="1:12" ht="15.75" customHeight="1">
      <c r="A106" s="37"/>
      <c r="B106" s="92"/>
      <c r="C106" s="37"/>
      <c r="D106" s="37"/>
      <c r="E106" s="37"/>
      <c r="F106" s="190"/>
      <c r="G106" s="190"/>
      <c r="H106" s="190"/>
      <c r="I106" s="190"/>
      <c r="J106" s="190"/>
      <c r="K106" s="190"/>
      <c r="L106" s="37"/>
    </row>
    <row r="107" spans="1:12" ht="15.75" customHeight="1">
      <c r="A107" s="37"/>
      <c r="B107" s="92"/>
      <c r="C107" s="37"/>
      <c r="D107" s="37"/>
      <c r="E107" s="37"/>
      <c r="F107" s="190"/>
      <c r="G107" s="190"/>
      <c r="H107" s="190"/>
      <c r="I107" s="190"/>
      <c r="J107" s="190"/>
      <c r="K107" s="190"/>
      <c r="L107" s="37"/>
    </row>
    <row r="108" spans="1:12" ht="15.75" customHeight="1">
      <c r="A108" s="37"/>
      <c r="B108" s="92"/>
      <c r="C108" s="37"/>
      <c r="D108" s="37"/>
      <c r="E108" s="37"/>
      <c r="F108" s="190"/>
      <c r="G108" s="190"/>
      <c r="H108" s="190"/>
      <c r="I108" s="190"/>
      <c r="J108" s="190"/>
      <c r="K108" s="190"/>
      <c r="L108" s="37"/>
    </row>
    <row r="109" spans="1:12" ht="15.75" customHeight="1">
      <c r="A109" s="37"/>
      <c r="B109" s="92"/>
      <c r="C109" s="37"/>
      <c r="D109" s="37"/>
      <c r="E109" s="37"/>
      <c r="F109" s="190"/>
      <c r="G109" s="190"/>
      <c r="H109" s="190"/>
      <c r="I109" s="190"/>
      <c r="J109" s="190"/>
      <c r="K109" s="190"/>
      <c r="L109" s="37"/>
    </row>
    <row r="110" spans="1:12" ht="15.75" customHeight="1">
      <c r="A110" s="37"/>
      <c r="B110" s="92"/>
      <c r="C110" s="37"/>
      <c r="D110" s="37"/>
      <c r="E110" s="37"/>
      <c r="F110" s="190"/>
      <c r="G110" s="190"/>
      <c r="H110" s="190"/>
      <c r="I110" s="190"/>
      <c r="J110" s="190"/>
      <c r="K110" s="190"/>
      <c r="L110" s="37"/>
    </row>
    <row r="111" spans="1:12" ht="15.75" customHeight="1">
      <c r="A111" s="37"/>
      <c r="B111" s="92"/>
      <c r="C111" s="37"/>
      <c r="D111" s="37"/>
      <c r="E111" s="37"/>
      <c r="F111" s="190"/>
      <c r="G111" s="190"/>
      <c r="H111" s="190"/>
      <c r="I111" s="190"/>
      <c r="J111" s="190"/>
      <c r="K111" s="190"/>
      <c r="L111" s="37"/>
    </row>
    <row r="112" spans="1:12" ht="16.2">
      <c r="A112" s="37"/>
      <c r="B112" s="92"/>
      <c r="C112" s="37"/>
      <c r="D112" s="37"/>
      <c r="E112" s="37"/>
      <c r="F112" s="190"/>
      <c r="G112" s="190"/>
      <c r="H112" s="190"/>
      <c r="I112" s="190"/>
      <c r="J112" s="190"/>
      <c r="K112" s="190"/>
      <c r="L112" s="37"/>
    </row>
    <row r="113" spans="1:12" ht="15.75" customHeight="1">
      <c r="A113" s="37"/>
      <c r="B113" s="92"/>
      <c r="C113" s="37"/>
      <c r="D113" s="37"/>
      <c r="E113" s="37"/>
      <c r="F113" s="190"/>
      <c r="G113" s="190"/>
      <c r="H113" s="190"/>
      <c r="I113" s="190"/>
      <c r="J113" s="190"/>
      <c r="K113" s="190"/>
      <c r="L113" s="37"/>
    </row>
    <row r="114" spans="1:12" ht="15.75" customHeight="1">
      <c r="A114" s="37"/>
      <c r="B114" s="92"/>
      <c r="C114" s="37"/>
      <c r="D114" s="37"/>
      <c r="E114" s="37"/>
      <c r="F114" s="190"/>
      <c r="G114" s="190"/>
      <c r="H114" s="190"/>
      <c r="I114" s="190"/>
      <c r="J114" s="190"/>
      <c r="K114" s="190"/>
      <c r="L114" s="37"/>
    </row>
    <row r="115" spans="1:12" ht="15.75" customHeight="1">
      <c r="A115" s="37"/>
      <c r="B115" s="92"/>
      <c r="C115" s="37"/>
      <c r="D115" s="37"/>
      <c r="E115" s="37"/>
      <c r="F115" s="190"/>
      <c r="G115" s="190"/>
      <c r="H115" s="190"/>
      <c r="I115" s="190"/>
      <c r="J115" s="190"/>
      <c r="K115" s="190"/>
      <c r="L115" s="37"/>
    </row>
    <row r="116" spans="1:12" ht="15.75" customHeight="1">
      <c r="A116" s="37"/>
      <c r="B116" s="92"/>
      <c r="C116" s="37"/>
      <c r="D116" s="37"/>
      <c r="E116" s="37"/>
      <c r="F116" s="190"/>
      <c r="G116" s="190"/>
      <c r="H116" s="190"/>
      <c r="I116" s="190"/>
      <c r="J116" s="190"/>
      <c r="K116" s="190"/>
      <c r="L116" s="37"/>
    </row>
    <row r="117" spans="1:12" ht="15.75" customHeight="1">
      <c r="A117" s="37"/>
      <c r="B117" s="92"/>
      <c r="C117" s="37"/>
      <c r="D117" s="37"/>
      <c r="E117" s="37"/>
      <c r="F117" s="190"/>
      <c r="G117" s="190"/>
      <c r="H117" s="190"/>
      <c r="I117" s="190"/>
      <c r="J117" s="190"/>
      <c r="K117" s="190"/>
      <c r="L117" s="37"/>
    </row>
    <row r="118" spans="1:12" ht="15.75" customHeight="1">
      <c r="A118" s="37"/>
      <c r="B118" s="92"/>
      <c r="C118" s="37"/>
      <c r="D118" s="37"/>
      <c r="E118" s="37"/>
      <c r="F118" s="190"/>
      <c r="G118" s="190"/>
      <c r="H118" s="190"/>
      <c r="I118" s="190"/>
      <c r="J118" s="190"/>
      <c r="K118" s="190"/>
      <c r="L118" s="37"/>
    </row>
    <row r="119" spans="1:12" ht="15.75" customHeight="1">
      <c r="A119" s="37"/>
      <c r="B119" s="92"/>
      <c r="C119" s="37"/>
      <c r="D119" s="37"/>
      <c r="E119" s="37"/>
      <c r="F119" s="190"/>
      <c r="G119" s="190"/>
      <c r="H119" s="190"/>
      <c r="I119" s="190"/>
      <c r="J119" s="190"/>
      <c r="K119" s="190"/>
      <c r="L119" s="37"/>
    </row>
    <row r="120" spans="1:12" ht="15.75" customHeight="1">
      <c r="A120" s="37"/>
      <c r="B120" s="92"/>
      <c r="C120" s="37"/>
      <c r="D120" s="37"/>
      <c r="E120" s="37"/>
      <c r="F120" s="190"/>
      <c r="G120" s="190"/>
      <c r="H120" s="190"/>
      <c r="I120" s="190"/>
      <c r="J120" s="190"/>
      <c r="K120" s="190"/>
      <c r="L120" s="37"/>
    </row>
    <row r="121" spans="1:12" ht="15.75" customHeight="1">
      <c r="A121" s="37"/>
      <c r="B121" s="92"/>
      <c r="C121" s="37"/>
      <c r="D121" s="37"/>
      <c r="E121" s="37"/>
      <c r="F121" s="190"/>
      <c r="G121" s="190"/>
      <c r="H121" s="190"/>
      <c r="I121" s="190"/>
      <c r="J121" s="190"/>
      <c r="K121" s="190"/>
      <c r="L121" s="37"/>
    </row>
    <row r="122" spans="1:12" ht="15.75" customHeight="1">
      <c r="A122" s="37"/>
      <c r="B122" s="92"/>
      <c r="C122" s="37"/>
      <c r="D122" s="37"/>
      <c r="E122" s="37"/>
      <c r="F122" s="190"/>
      <c r="G122" s="190"/>
      <c r="H122" s="190"/>
      <c r="I122" s="190"/>
      <c r="J122" s="190"/>
      <c r="K122" s="190"/>
      <c r="L122" s="37"/>
    </row>
    <row r="123" spans="1:12" ht="15.75" customHeight="1">
      <c r="A123" s="37"/>
      <c r="B123" s="92"/>
      <c r="C123" s="37"/>
      <c r="D123" s="37"/>
      <c r="E123" s="37"/>
      <c r="F123" s="190"/>
      <c r="G123" s="190"/>
      <c r="H123" s="190"/>
      <c r="I123" s="190"/>
      <c r="J123" s="190"/>
      <c r="K123" s="190"/>
      <c r="L123" s="37"/>
    </row>
    <row r="124" spans="1:12" ht="15.75" customHeight="1">
      <c r="A124" s="37"/>
      <c r="B124" s="92"/>
      <c r="C124" s="37"/>
      <c r="D124" s="37"/>
      <c r="E124" s="37"/>
      <c r="F124" s="190"/>
      <c r="G124" s="190"/>
      <c r="H124" s="190"/>
      <c r="I124" s="190"/>
      <c r="J124" s="190"/>
      <c r="K124" s="190"/>
      <c r="L124" s="37"/>
    </row>
    <row r="125" spans="1:12" ht="15.75" customHeight="1">
      <c r="A125" s="37"/>
      <c r="B125" s="92"/>
      <c r="C125" s="37"/>
      <c r="D125" s="37"/>
      <c r="E125" s="37"/>
      <c r="F125" s="190"/>
      <c r="G125" s="190"/>
      <c r="H125" s="190"/>
      <c r="I125" s="190"/>
      <c r="J125" s="190"/>
      <c r="K125" s="190"/>
      <c r="L125" s="37"/>
    </row>
    <row r="126" spans="1:12" ht="15.75" customHeight="1">
      <c r="A126" s="37"/>
      <c r="B126" s="92"/>
      <c r="C126" s="37"/>
      <c r="D126" s="37"/>
      <c r="E126" s="37"/>
      <c r="F126" s="190"/>
      <c r="G126" s="190"/>
      <c r="H126" s="190"/>
      <c r="I126" s="190"/>
      <c r="J126" s="190"/>
      <c r="K126" s="190"/>
      <c r="L126" s="37"/>
    </row>
    <row r="127" spans="1:12" ht="15.75" customHeight="1">
      <c r="A127" s="37"/>
      <c r="B127" s="92"/>
      <c r="C127" s="37"/>
      <c r="D127" s="37"/>
      <c r="E127" s="37"/>
      <c r="F127" s="190"/>
      <c r="G127" s="190"/>
      <c r="H127" s="190"/>
      <c r="I127" s="190"/>
      <c r="J127" s="190"/>
      <c r="K127" s="190"/>
      <c r="L127" s="37"/>
    </row>
    <row r="128" spans="1:12" ht="15.75" customHeight="1">
      <c r="A128" s="37"/>
      <c r="B128" s="92"/>
      <c r="C128" s="37"/>
      <c r="D128" s="37"/>
      <c r="E128" s="37"/>
      <c r="F128" s="190"/>
      <c r="G128" s="190"/>
      <c r="H128" s="190"/>
      <c r="I128" s="190"/>
      <c r="J128" s="190"/>
      <c r="K128" s="190"/>
      <c r="L128" s="37"/>
    </row>
    <row r="129" spans="1:12" ht="15.75" customHeight="1">
      <c r="A129" s="37"/>
      <c r="B129" s="92"/>
      <c r="C129" s="37"/>
      <c r="D129" s="37"/>
      <c r="E129" s="37"/>
      <c r="F129" s="190"/>
      <c r="G129" s="190"/>
      <c r="H129" s="190"/>
      <c r="I129" s="190"/>
      <c r="J129" s="190"/>
      <c r="K129" s="190"/>
      <c r="L129" s="37"/>
    </row>
    <row r="130" spans="1:12" ht="15.75" customHeight="1">
      <c r="A130" s="37"/>
      <c r="B130" s="92"/>
      <c r="C130" s="37"/>
      <c r="D130" s="37"/>
      <c r="E130" s="37"/>
      <c r="F130" s="190"/>
      <c r="G130" s="190"/>
      <c r="H130" s="190"/>
      <c r="I130" s="190"/>
      <c r="J130" s="190"/>
      <c r="K130" s="190"/>
      <c r="L130" s="37"/>
    </row>
    <row r="131" spans="1:12" ht="15.75" customHeight="1">
      <c r="A131" s="37"/>
      <c r="B131" s="92"/>
      <c r="C131" s="37"/>
      <c r="D131" s="37"/>
      <c r="E131" s="37"/>
      <c r="F131" s="190"/>
      <c r="G131" s="190"/>
      <c r="H131" s="190"/>
      <c r="I131" s="190"/>
      <c r="J131" s="190"/>
      <c r="K131" s="190"/>
      <c r="L131" s="37"/>
    </row>
    <row r="132" spans="1:12" ht="16.2">
      <c r="A132" s="37"/>
      <c r="B132" s="92"/>
      <c r="C132" s="37"/>
      <c r="D132" s="37"/>
      <c r="E132" s="37"/>
      <c r="F132" s="190"/>
      <c r="G132" s="190"/>
      <c r="H132" s="190"/>
      <c r="I132" s="190"/>
      <c r="J132" s="190"/>
      <c r="K132" s="190"/>
      <c r="L132" s="37"/>
    </row>
    <row r="133" spans="1:12" ht="16.2">
      <c r="A133" s="37"/>
      <c r="B133" s="92"/>
      <c r="C133" s="37"/>
      <c r="D133" s="37"/>
      <c r="E133" s="37"/>
      <c r="F133" s="190"/>
      <c r="G133" s="190"/>
      <c r="H133" s="190"/>
      <c r="I133" s="190"/>
      <c r="J133" s="190"/>
      <c r="K133" s="190"/>
      <c r="L133" s="37"/>
    </row>
    <row r="134" spans="1:12" ht="16.2">
      <c r="A134" s="37"/>
      <c r="B134" s="92"/>
      <c r="C134" s="37"/>
      <c r="D134" s="37"/>
      <c r="E134" s="37"/>
      <c r="F134" s="190"/>
      <c r="G134" s="190"/>
      <c r="H134" s="190"/>
      <c r="I134" s="190"/>
      <c r="J134" s="190"/>
      <c r="K134" s="190"/>
      <c r="L134" s="37"/>
    </row>
    <row r="135" spans="1:12" ht="16.2">
      <c r="A135" s="37"/>
      <c r="B135" s="92"/>
      <c r="C135" s="37"/>
      <c r="D135" s="37"/>
      <c r="E135" s="37"/>
      <c r="F135" s="190"/>
      <c r="G135" s="190"/>
      <c r="H135" s="190"/>
      <c r="I135" s="190"/>
      <c r="J135" s="190"/>
      <c r="K135" s="190"/>
      <c r="L135" s="37"/>
    </row>
    <row r="136" spans="1:12" ht="16.2">
      <c r="A136" s="37"/>
      <c r="B136" s="92"/>
      <c r="C136" s="37"/>
      <c r="D136" s="37"/>
      <c r="E136" s="37"/>
      <c r="F136" s="190"/>
      <c r="G136" s="190"/>
      <c r="H136" s="190"/>
      <c r="I136" s="190"/>
      <c r="J136" s="190"/>
      <c r="K136" s="190"/>
      <c r="L136" s="37"/>
    </row>
    <row r="137" spans="1:12" ht="16.2">
      <c r="A137" s="37"/>
      <c r="B137" s="92"/>
      <c r="C137" s="37"/>
      <c r="D137" s="37"/>
      <c r="E137" s="37"/>
      <c r="F137" s="190"/>
      <c r="G137" s="190"/>
      <c r="H137" s="190"/>
      <c r="I137" s="190"/>
      <c r="J137" s="190"/>
      <c r="K137" s="190"/>
      <c r="L137" s="37"/>
    </row>
    <row r="138" spans="1:12" ht="16.2">
      <c r="A138" s="37"/>
      <c r="B138" s="92"/>
      <c r="C138" s="37"/>
      <c r="D138" s="37"/>
      <c r="E138" s="37"/>
      <c r="F138" s="190"/>
      <c r="G138" s="190"/>
      <c r="H138" s="190"/>
      <c r="I138" s="190"/>
      <c r="J138" s="190"/>
      <c r="K138" s="190"/>
      <c r="L138" s="37"/>
    </row>
    <row r="139" spans="1:12" ht="16.2">
      <c r="A139" s="37"/>
      <c r="B139" s="92"/>
      <c r="C139" s="37"/>
      <c r="D139" s="37"/>
      <c r="E139" s="37"/>
      <c r="F139" s="190"/>
      <c r="G139" s="190"/>
      <c r="H139" s="190"/>
      <c r="I139" s="190"/>
      <c r="J139" s="190"/>
      <c r="K139" s="190"/>
      <c r="L139" s="37"/>
    </row>
    <row r="140" spans="1:12" ht="16.2">
      <c r="A140" s="37"/>
      <c r="B140" s="92"/>
      <c r="C140" s="37"/>
      <c r="D140" s="37"/>
      <c r="E140" s="37"/>
      <c r="F140" s="190"/>
      <c r="G140" s="190"/>
      <c r="H140" s="190"/>
      <c r="I140" s="190"/>
      <c r="J140" s="190"/>
      <c r="K140" s="190"/>
      <c r="L140" s="37"/>
    </row>
    <row r="141" spans="1:12" ht="16.2">
      <c r="A141" s="37"/>
      <c r="B141" s="92"/>
      <c r="C141" s="37"/>
      <c r="D141" s="37"/>
      <c r="E141" s="37"/>
      <c r="F141" s="190"/>
      <c r="G141" s="190"/>
      <c r="H141" s="190"/>
      <c r="I141" s="190"/>
      <c r="J141" s="190"/>
      <c r="K141" s="190"/>
      <c r="L141" s="37"/>
    </row>
    <row r="142" spans="1:12" ht="16.2">
      <c r="A142" s="37"/>
      <c r="B142" s="92"/>
      <c r="C142" s="37"/>
      <c r="D142" s="37"/>
      <c r="E142" s="37"/>
      <c r="F142" s="190"/>
      <c r="G142" s="190"/>
      <c r="H142" s="190"/>
      <c r="I142" s="190"/>
      <c r="J142" s="190"/>
      <c r="K142" s="190"/>
      <c r="L142" s="37"/>
    </row>
    <row r="143" spans="1:12" ht="16.2">
      <c r="A143" s="37"/>
      <c r="B143" s="92"/>
      <c r="C143" s="37"/>
      <c r="D143" s="37"/>
      <c r="E143" s="37"/>
      <c r="F143" s="190"/>
      <c r="G143" s="190"/>
      <c r="H143" s="190"/>
      <c r="I143" s="190"/>
      <c r="J143" s="190"/>
      <c r="K143" s="190"/>
      <c r="L143" s="37"/>
    </row>
    <row r="144" spans="1:12" ht="16.2">
      <c r="A144" s="37"/>
      <c r="B144" s="92"/>
      <c r="C144" s="37"/>
      <c r="D144" s="37"/>
      <c r="E144" s="37"/>
      <c r="F144" s="190"/>
      <c r="G144" s="190"/>
      <c r="H144" s="190"/>
      <c r="I144" s="190"/>
      <c r="J144" s="190"/>
      <c r="K144" s="190"/>
      <c r="L144" s="37"/>
    </row>
    <row r="145" spans="1:12" ht="16.2">
      <c r="A145" s="37"/>
      <c r="B145" s="92"/>
      <c r="C145" s="37"/>
      <c r="D145" s="37"/>
      <c r="E145" s="37"/>
      <c r="F145" s="190"/>
      <c r="G145" s="190"/>
      <c r="H145" s="190"/>
      <c r="I145" s="190"/>
      <c r="J145" s="190"/>
      <c r="K145" s="190"/>
      <c r="L145" s="37"/>
    </row>
    <row r="146" spans="1:12" ht="16.2">
      <c r="A146" s="37"/>
      <c r="B146" s="92"/>
      <c r="C146" s="37"/>
      <c r="D146" s="37"/>
      <c r="E146" s="37"/>
      <c r="F146" s="190"/>
      <c r="G146" s="190"/>
      <c r="H146" s="190"/>
      <c r="I146" s="190"/>
      <c r="J146" s="190"/>
      <c r="K146" s="190"/>
      <c r="L146" s="37"/>
    </row>
    <row r="147" spans="1:12" ht="16.2">
      <c r="A147" s="37"/>
      <c r="B147" s="92"/>
      <c r="C147" s="37"/>
      <c r="D147" s="37"/>
      <c r="E147" s="37"/>
      <c r="F147" s="190"/>
      <c r="G147" s="190"/>
      <c r="H147" s="190"/>
      <c r="I147" s="190"/>
      <c r="J147" s="190"/>
      <c r="K147" s="190"/>
      <c r="L147" s="37"/>
    </row>
    <row r="148" spans="1:12" ht="16.2">
      <c r="A148" s="37"/>
      <c r="B148" s="92"/>
      <c r="C148" s="37"/>
      <c r="D148" s="37"/>
      <c r="E148" s="37"/>
      <c r="F148" s="190"/>
      <c r="G148" s="190"/>
      <c r="H148" s="190"/>
      <c r="I148" s="190"/>
      <c r="J148" s="190"/>
      <c r="K148" s="190"/>
      <c r="L148" s="37"/>
    </row>
    <row r="149" spans="1:12" ht="16.2">
      <c r="A149" s="37"/>
      <c r="B149" s="92"/>
      <c r="C149" s="37"/>
      <c r="D149" s="37"/>
      <c r="E149" s="37"/>
      <c r="F149" s="190"/>
      <c r="G149" s="190"/>
      <c r="H149" s="190"/>
      <c r="I149" s="190"/>
      <c r="J149" s="190"/>
      <c r="K149" s="190"/>
      <c r="L149" s="37"/>
    </row>
    <row r="150" spans="1:12" ht="16.2">
      <c r="A150" s="37"/>
      <c r="B150" s="92"/>
      <c r="C150" s="37"/>
      <c r="D150" s="37"/>
      <c r="E150" s="37"/>
      <c r="F150" s="190"/>
      <c r="G150" s="190"/>
      <c r="H150" s="190"/>
      <c r="I150" s="190"/>
      <c r="J150" s="190"/>
      <c r="K150" s="190"/>
      <c r="L150" s="37"/>
    </row>
    <row r="151" spans="1:12" ht="16.2">
      <c r="A151" s="37"/>
      <c r="B151" s="92"/>
      <c r="C151" s="37"/>
      <c r="D151" s="37"/>
      <c r="E151" s="37"/>
      <c r="F151" s="190"/>
      <c r="G151" s="190"/>
      <c r="H151" s="190"/>
      <c r="I151" s="190"/>
      <c r="J151" s="190"/>
      <c r="K151" s="190"/>
      <c r="L151" s="37"/>
    </row>
    <row r="152" spans="1:12" ht="16.2">
      <c r="A152" s="37"/>
      <c r="B152" s="92"/>
      <c r="C152" s="37"/>
      <c r="D152" s="37"/>
      <c r="E152" s="37"/>
      <c r="F152" s="190"/>
      <c r="G152" s="190"/>
      <c r="H152" s="190"/>
      <c r="I152" s="190"/>
      <c r="J152" s="190"/>
      <c r="K152" s="190"/>
      <c r="L152" s="37"/>
    </row>
    <row r="153" spans="1:12" ht="16.2">
      <c r="A153" s="37"/>
      <c r="B153" s="92"/>
      <c r="C153" s="37"/>
      <c r="D153" s="37"/>
      <c r="E153" s="37"/>
      <c r="F153" s="190"/>
      <c r="G153" s="190"/>
      <c r="H153" s="190"/>
      <c r="I153" s="190"/>
      <c r="J153" s="190"/>
      <c r="K153" s="190"/>
      <c r="L153" s="37"/>
    </row>
    <row r="154" spans="1:12" ht="16.2">
      <c r="A154" s="37"/>
      <c r="B154" s="92"/>
      <c r="C154" s="37"/>
      <c r="D154" s="37"/>
      <c r="E154" s="37"/>
      <c r="F154" s="190"/>
      <c r="G154" s="190"/>
      <c r="H154" s="190"/>
      <c r="I154" s="190"/>
      <c r="J154" s="190"/>
      <c r="K154" s="190"/>
      <c r="L154" s="37"/>
    </row>
    <row r="155" spans="1:12" ht="16.2">
      <c r="A155" s="37"/>
      <c r="B155" s="92"/>
      <c r="C155" s="37"/>
      <c r="D155" s="37"/>
      <c r="E155" s="37"/>
      <c r="F155" s="190"/>
      <c r="G155" s="190"/>
      <c r="H155" s="190"/>
      <c r="I155" s="190"/>
      <c r="J155" s="190"/>
      <c r="K155" s="190"/>
      <c r="L155" s="37"/>
    </row>
    <row r="156" spans="1:12" ht="16.2">
      <c r="A156" s="37"/>
      <c r="B156" s="92"/>
      <c r="C156" s="37"/>
      <c r="D156" s="37"/>
      <c r="E156" s="37"/>
      <c r="F156" s="190"/>
      <c r="G156" s="190"/>
      <c r="H156" s="190"/>
      <c r="I156" s="190"/>
      <c r="J156" s="190"/>
      <c r="K156" s="190"/>
      <c r="L156" s="37"/>
    </row>
    <row r="157" spans="1:12" ht="16.2">
      <c r="A157" s="37"/>
      <c r="B157" s="92"/>
      <c r="C157" s="37"/>
      <c r="D157" s="37"/>
      <c r="E157" s="37"/>
      <c r="F157" s="190"/>
      <c r="G157" s="190"/>
      <c r="H157" s="190"/>
      <c r="I157" s="190"/>
      <c r="J157" s="190"/>
      <c r="K157" s="190"/>
      <c r="L157" s="37"/>
    </row>
    <row r="158" spans="1:12" ht="16.2">
      <c r="A158" s="37"/>
      <c r="B158" s="92"/>
      <c r="C158" s="37"/>
      <c r="D158" s="37"/>
      <c r="E158" s="37"/>
      <c r="F158" s="190"/>
      <c r="G158" s="190"/>
      <c r="H158" s="190"/>
      <c r="I158" s="190"/>
      <c r="J158" s="190"/>
      <c r="K158" s="190"/>
      <c r="L158" s="37"/>
    </row>
    <row r="159" spans="1:12" ht="16.2">
      <c r="A159" s="37"/>
      <c r="B159" s="92"/>
      <c r="C159" s="37"/>
      <c r="D159" s="37"/>
      <c r="E159" s="37"/>
      <c r="F159" s="190"/>
      <c r="G159" s="190"/>
      <c r="H159" s="190"/>
      <c r="I159" s="190"/>
      <c r="J159" s="190"/>
      <c r="K159" s="190"/>
      <c r="L159" s="37"/>
    </row>
    <row r="160" spans="1:12" ht="16.2">
      <c r="A160" s="37"/>
      <c r="B160" s="92"/>
      <c r="C160" s="37"/>
      <c r="D160" s="37"/>
      <c r="E160" s="37"/>
      <c r="F160" s="190"/>
      <c r="G160" s="190"/>
      <c r="H160" s="190"/>
      <c r="I160" s="190"/>
      <c r="J160" s="190"/>
      <c r="K160" s="190"/>
      <c r="L160" s="37"/>
    </row>
    <row r="161" spans="1:12" ht="16.2">
      <c r="A161" s="37"/>
      <c r="B161" s="92"/>
      <c r="C161" s="37"/>
      <c r="D161" s="37"/>
      <c r="E161" s="37"/>
      <c r="F161" s="190"/>
      <c r="G161" s="190"/>
      <c r="H161" s="190"/>
      <c r="I161" s="190"/>
      <c r="J161" s="190"/>
      <c r="K161" s="190"/>
      <c r="L161" s="37"/>
    </row>
    <row r="162" spans="1:12" ht="16.2">
      <c r="A162" s="37"/>
      <c r="B162" s="92"/>
      <c r="C162" s="37"/>
      <c r="D162" s="37"/>
      <c r="E162" s="37"/>
      <c r="F162" s="190"/>
      <c r="G162" s="190"/>
      <c r="H162" s="190"/>
      <c r="I162" s="190"/>
      <c r="J162" s="190"/>
      <c r="K162" s="190"/>
      <c r="L162" s="37"/>
    </row>
    <row r="163" spans="1:12" ht="16.2">
      <c r="A163" s="37"/>
      <c r="B163" s="92"/>
      <c r="C163" s="37"/>
      <c r="D163" s="37"/>
      <c r="E163" s="37"/>
      <c r="F163" s="190"/>
      <c r="G163" s="190"/>
      <c r="H163" s="190"/>
      <c r="I163" s="190"/>
      <c r="J163" s="190"/>
      <c r="K163" s="190"/>
      <c r="L163" s="37"/>
    </row>
    <row r="164" spans="1:12" ht="16.2">
      <c r="A164" s="37"/>
      <c r="B164" s="92"/>
      <c r="C164" s="37"/>
      <c r="D164" s="37"/>
      <c r="E164" s="37"/>
      <c r="F164" s="190"/>
      <c r="G164" s="190"/>
      <c r="H164" s="190"/>
      <c r="I164" s="190"/>
      <c r="J164" s="190"/>
      <c r="K164" s="190"/>
      <c r="L164" s="37"/>
    </row>
    <row r="165" spans="1:12" ht="16.2">
      <c r="A165" s="37"/>
      <c r="B165" s="92"/>
      <c r="C165" s="37"/>
      <c r="D165" s="37"/>
      <c r="E165" s="37"/>
      <c r="F165" s="190"/>
      <c r="G165" s="190"/>
      <c r="H165" s="190"/>
      <c r="I165" s="190"/>
      <c r="J165" s="190"/>
      <c r="K165" s="190"/>
      <c r="L165" s="37"/>
    </row>
    <row r="166" spans="1:12" ht="16.2">
      <c r="A166" s="37"/>
      <c r="B166" s="92"/>
      <c r="C166" s="37"/>
      <c r="D166" s="37"/>
      <c r="E166" s="37"/>
      <c r="F166" s="190"/>
      <c r="G166" s="190"/>
      <c r="H166" s="190"/>
      <c r="I166" s="190"/>
      <c r="J166" s="190"/>
      <c r="K166" s="190"/>
      <c r="L166" s="37"/>
    </row>
    <row r="167" spans="1:12" ht="16.2">
      <c r="A167" s="37"/>
      <c r="B167" s="92"/>
      <c r="C167" s="37"/>
      <c r="D167" s="37"/>
      <c r="E167" s="37"/>
      <c r="F167" s="190"/>
      <c r="G167" s="190"/>
      <c r="H167" s="190"/>
      <c r="I167" s="190"/>
      <c r="J167" s="190"/>
      <c r="K167" s="190"/>
      <c r="L167" s="37"/>
    </row>
    <row r="168" spans="1:12" ht="16.2">
      <c r="A168" s="37"/>
      <c r="B168" s="92"/>
      <c r="C168" s="37"/>
      <c r="D168" s="37"/>
      <c r="E168" s="37"/>
      <c r="F168" s="190"/>
      <c r="G168" s="190"/>
      <c r="H168" s="190"/>
      <c r="I168" s="190"/>
      <c r="J168" s="190"/>
      <c r="K168" s="190"/>
      <c r="L168" s="37"/>
    </row>
    <row r="169" spans="1:12" ht="16.2">
      <c r="A169" s="37"/>
      <c r="B169" s="92"/>
      <c r="C169" s="37"/>
      <c r="D169" s="37"/>
      <c r="E169" s="37"/>
      <c r="F169" s="190"/>
      <c r="G169" s="190"/>
      <c r="H169" s="190"/>
      <c r="I169" s="190"/>
      <c r="J169" s="190"/>
      <c r="K169" s="190"/>
      <c r="L169" s="37"/>
    </row>
    <row r="170" spans="1:12" ht="16.2">
      <c r="A170" s="37"/>
      <c r="B170" s="92"/>
      <c r="C170" s="37"/>
      <c r="D170" s="37"/>
      <c r="E170" s="37"/>
      <c r="F170" s="190"/>
      <c r="G170" s="190"/>
      <c r="H170" s="190"/>
      <c r="I170" s="190"/>
      <c r="J170" s="190"/>
      <c r="K170" s="190"/>
      <c r="L170" s="37"/>
    </row>
    <row r="171" spans="1:12" ht="16.2">
      <c r="A171" s="37"/>
      <c r="B171" s="92"/>
      <c r="C171" s="37"/>
      <c r="D171" s="37"/>
      <c r="E171" s="37"/>
      <c r="F171" s="190"/>
      <c r="G171" s="190"/>
      <c r="H171" s="190"/>
      <c r="I171" s="190"/>
      <c r="J171" s="190"/>
      <c r="K171" s="190"/>
      <c r="L171" s="37"/>
    </row>
    <row r="172" spans="1:12" ht="16.2">
      <c r="A172" s="37"/>
      <c r="B172" s="92"/>
      <c r="C172" s="37"/>
      <c r="D172" s="37"/>
      <c r="E172" s="37"/>
      <c r="F172" s="190"/>
      <c r="G172" s="190"/>
      <c r="H172" s="190"/>
      <c r="I172" s="190"/>
      <c r="J172" s="190"/>
      <c r="K172" s="190"/>
      <c r="L172" s="37"/>
    </row>
    <row r="173" spans="1:12" ht="16.2">
      <c r="A173" s="37"/>
      <c r="B173" s="92"/>
      <c r="C173" s="37"/>
      <c r="D173" s="37"/>
      <c r="E173" s="37"/>
      <c r="F173" s="190"/>
      <c r="G173" s="190"/>
      <c r="H173" s="190"/>
      <c r="I173" s="190"/>
      <c r="J173" s="190"/>
      <c r="K173" s="190"/>
      <c r="L173" s="37"/>
    </row>
    <row r="174" spans="1:12" ht="16.2">
      <c r="A174" s="37"/>
      <c r="B174" s="92"/>
      <c r="C174" s="37"/>
      <c r="D174" s="37"/>
      <c r="E174" s="37"/>
      <c r="F174" s="190"/>
      <c r="G174" s="190"/>
      <c r="H174" s="190"/>
      <c r="I174" s="190"/>
      <c r="J174" s="190"/>
      <c r="K174" s="190"/>
      <c r="L174" s="37"/>
    </row>
    <row r="175" spans="1:12" ht="16.2">
      <c r="A175" s="37"/>
      <c r="B175" s="92"/>
      <c r="C175" s="37"/>
      <c r="D175" s="37"/>
      <c r="E175" s="37"/>
      <c r="F175" s="190"/>
      <c r="G175" s="190"/>
      <c r="H175" s="190"/>
      <c r="I175" s="190"/>
      <c r="J175" s="190"/>
      <c r="K175" s="190"/>
      <c r="L175" s="37"/>
    </row>
    <row r="176" spans="1:12" ht="16.2">
      <c r="A176" s="37"/>
      <c r="B176" s="92"/>
      <c r="C176" s="37"/>
      <c r="D176" s="37"/>
      <c r="E176" s="37"/>
      <c r="F176" s="190"/>
      <c r="G176" s="190"/>
      <c r="H176" s="190"/>
      <c r="I176" s="190"/>
      <c r="J176" s="190"/>
      <c r="K176" s="190"/>
      <c r="L176" s="37"/>
    </row>
    <row r="177" spans="1:12" ht="16.2">
      <c r="A177" s="37"/>
      <c r="B177" s="92"/>
      <c r="C177" s="37"/>
      <c r="D177" s="37"/>
      <c r="E177" s="37"/>
      <c r="F177" s="190"/>
      <c r="G177" s="190"/>
      <c r="H177" s="190"/>
      <c r="I177" s="190"/>
      <c r="J177" s="190"/>
      <c r="K177" s="190"/>
      <c r="L177" s="37"/>
    </row>
    <row r="178" spans="1:12" ht="16.2">
      <c r="A178" s="37"/>
      <c r="B178" s="92"/>
      <c r="C178" s="37"/>
      <c r="D178" s="37"/>
      <c r="E178" s="37"/>
      <c r="F178" s="190"/>
      <c r="G178" s="190"/>
      <c r="H178" s="190"/>
      <c r="I178" s="190"/>
      <c r="J178" s="190"/>
      <c r="K178" s="190"/>
      <c r="L178" s="37"/>
    </row>
    <row r="179" spans="1:12" ht="16.2">
      <c r="A179" s="37"/>
      <c r="B179" s="92"/>
      <c r="C179" s="37"/>
      <c r="D179" s="37"/>
      <c r="E179" s="37"/>
      <c r="F179" s="190"/>
      <c r="G179" s="190"/>
      <c r="H179" s="190"/>
      <c r="I179" s="190"/>
      <c r="J179" s="190"/>
      <c r="K179" s="190"/>
      <c r="L179" s="37"/>
    </row>
    <row r="180" spans="1:12" ht="16.2">
      <c r="A180" s="37"/>
      <c r="B180" s="92"/>
      <c r="C180" s="37"/>
      <c r="D180" s="37"/>
      <c r="E180" s="37"/>
      <c r="F180" s="190"/>
      <c r="G180" s="190"/>
      <c r="H180" s="190"/>
      <c r="I180" s="190"/>
      <c r="J180" s="190"/>
      <c r="K180" s="190"/>
      <c r="L180" s="37"/>
    </row>
    <row r="181" spans="1:12" ht="16.2">
      <c r="A181" s="37"/>
      <c r="B181" s="92"/>
      <c r="C181" s="37"/>
      <c r="D181" s="37"/>
      <c r="E181" s="37"/>
      <c r="F181" s="190"/>
      <c r="G181" s="190"/>
      <c r="H181" s="190"/>
      <c r="I181" s="190"/>
      <c r="J181" s="190"/>
      <c r="K181" s="190"/>
      <c r="L181" s="37"/>
    </row>
    <row r="182" spans="1:12" ht="16.2">
      <c r="A182" s="37"/>
      <c r="B182" s="92"/>
      <c r="C182" s="37"/>
      <c r="D182" s="37"/>
      <c r="E182" s="37"/>
      <c r="F182" s="190"/>
      <c r="G182" s="190"/>
      <c r="H182" s="190"/>
      <c r="I182" s="190"/>
      <c r="J182" s="190"/>
      <c r="K182" s="190"/>
      <c r="L182" s="37"/>
    </row>
    <row r="183" spans="1:12" ht="16.2">
      <c r="A183" s="37"/>
      <c r="B183" s="92"/>
      <c r="C183" s="37"/>
      <c r="D183" s="37"/>
      <c r="E183" s="37"/>
      <c r="F183" s="190"/>
      <c r="G183" s="190"/>
      <c r="H183" s="190"/>
      <c r="I183" s="190"/>
      <c r="J183" s="190"/>
      <c r="K183" s="190"/>
      <c r="L183" s="37"/>
    </row>
    <row r="184" spans="1:12" ht="16.2">
      <c r="A184" s="37"/>
      <c r="B184" s="92"/>
      <c r="C184" s="37"/>
      <c r="D184" s="37"/>
      <c r="E184" s="37"/>
      <c r="F184" s="190"/>
      <c r="G184" s="190"/>
      <c r="H184" s="190"/>
      <c r="I184" s="190"/>
      <c r="J184" s="190"/>
      <c r="K184" s="190"/>
      <c r="L184" s="37"/>
    </row>
    <row r="185" spans="1:12" ht="16.2">
      <c r="A185" s="37"/>
      <c r="B185" s="92"/>
      <c r="C185" s="37"/>
      <c r="D185" s="37"/>
      <c r="E185" s="37"/>
      <c r="F185" s="190"/>
      <c r="G185" s="190"/>
      <c r="H185" s="190"/>
      <c r="I185" s="190"/>
      <c r="J185" s="190"/>
      <c r="K185" s="190"/>
      <c r="L185" s="37"/>
    </row>
    <row r="186" spans="1:12" ht="16.2">
      <c r="A186" s="37"/>
      <c r="B186" s="92"/>
      <c r="C186" s="37"/>
      <c r="D186" s="37"/>
      <c r="E186" s="37"/>
      <c r="F186" s="190"/>
      <c r="G186" s="190"/>
      <c r="H186" s="190"/>
      <c r="I186" s="190"/>
      <c r="J186" s="190"/>
      <c r="K186" s="190"/>
      <c r="L186" s="37"/>
    </row>
    <row r="187" spans="1:12" ht="16.2">
      <c r="A187" s="37"/>
      <c r="B187" s="92"/>
      <c r="C187" s="37"/>
      <c r="D187" s="37"/>
      <c r="E187" s="37"/>
      <c r="F187" s="190"/>
      <c r="G187" s="190"/>
      <c r="H187" s="190"/>
      <c r="I187" s="190"/>
      <c r="J187" s="190"/>
      <c r="K187" s="190"/>
      <c r="L187" s="37"/>
    </row>
    <row r="188" spans="1:12" ht="16.2">
      <c r="A188" s="37"/>
      <c r="B188" s="92"/>
      <c r="C188" s="37"/>
      <c r="D188" s="37"/>
      <c r="E188" s="37"/>
      <c r="F188" s="190"/>
      <c r="G188" s="190"/>
      <c r="H188" s="190"/>
      <c r="I188" s="190"/>
      <c r="J188" s="190"/>
      <c r="K188" s="190"/>
      <c r="L188" s="37"/>
    </row>
    <row r="189" spans="1:12" ht="16.2">
      <c r="A189" s="37"/>
      <c r="B189" s="92"/>
      <c r="C189" s="37"/>
      <c r="D189" s="37"/>
      <c r="E189" s="37"/>
      <c r="F189" s="190"/>
      <c r="G189" s="190"/>
      <c r="H189" s="190"/>
      <c r="I189" s="190"/>
      <c r="J189" s="190"/>
      <c r="K189" s="190"/>
      <c r="L189" s="37"/>
    </row>
    <row r="190" spans="1:12" ht="16.2">
      <c r="A190" s="37"/>
      <c r="B190" s="92"/>
      <c r="C190" s="37"/>
      <c r="D190" s="37"/>
      <c r="E190" s="37"/>
      <c r="F190" s="190"/>
      <c r="G190" s="190"/>
      <c r="H190" s="190"/>
      <c r="I190" s="190"/>
      <c r="J190" s="190"/>
      <c r="K190" s="190"/>
      <c r="L190" s="37"/>
    </row>
    <row r="191" spans="1:12" ht="16.2">
      <c r="A191" s="37"/>
      <c r="B191" s="92"/>
      <c r="C191" s="37"/>
      <c r="D191" s="37"/>
      <c r="E191" s="37"/>
      <c r="F191" s="190"/>
      <c r="G191" s="190"/>
      <c r="H191" s="190"/>
      <c r="I191" s="190"/>
      <c r="J191" s="190"/>
      <c r="K191" s="190"/>
      <c r="L191" s="37"/>
    </row>
    <row r="192" spans="1:12" ht="16.2">
      <c r="A192" s="37"/>
      <c r="B192" s="92"/>
      <c r="C192" s="37"/>
      <c r="D192" s="37"/>
      <c r="E192" s="37"/>
      <c r="F192" s="190"/>
      <c r="G192" s="190"/>
      <c r="H192" s="190"/>
      <c r="I192" s="190"/>
      <c r="J192" s="190"/>
      <c r="K192" s="190"/>
      <c r="L192" s="37"/>
    </row>
    <row r="193" spans="1:12" ht="16.2">
      <c r="A193" s="37"/>
      <c r="B193" s="92"/>
      <c r="C193" s="37"/>
      <c r="D193" s="37"/>
      <c r="E193" s="37"/>
      <c r="F193" s="190"/>
      <c r="G193" s="190"/>
      <c r="H193" s="190"/>
      <c r="I193" s="190"/>
      <c r="J193" s="190"/>
      <c r="K193" s="190"/>
      <c r="L193" s="37"/>
    </row>
    <row r="194" spans="1:12" ht="16.2">
      <c r="A194" s="37"/>
      <c r="B194" s="92"/>
      <c r="C194" s="37"/>
      <c r="D194" s="37"/>
      <c r="E194" s="37"/>
      <c r="F194" s="190"/>
      <c r="G194" s="190"/>
      <c r="H194" s="190"/>
      <c r="I194" s="190"/>
      <c r="J194" s="190"/>
      <c r="K194" s="190"/>
      <c r="L194" s="37"/>
    </row>
    <row r="195" spans="1:12" ht="16.2">
      <c r="A195" s="37"/>
      <c r="B195" s="92"/>
      <c r="C195" s="37"/>
      <c r="D195" s="37"/>
      <c r="E195" s="37"/>
      <c r="F195" s="190"/>
      <c r="G195" s="190"/>
      <c r="H195" s="190"/>
      <c r="I195" s="190"/>
      <c r="J195" s="190"/>
      <c r="K195" s="190"/>
      <c r="L195" s="37"/>
    </row>
    <row r="196" spans="1:12" ht="16.2">
      <c r="A196" s="37"/>
      <c r="B196" s="92"/>
      <c r="C196" s="37"/>
      <c r="D196" s="37"/>
      <c r="E196" s="37"/>
      <c r="F196" s="190"/>
      <c r="G196" s="190"/>
      <c r="H196" s="190"/>
      <c r="I196" s="190"/>
      <c r="J196" s="190"/>
      <c r="K196" s="190"/>
      <c r="L196" s="37"/>
    </row>
    <row r="197" spans="1:12" ht="16.2">
      <c r="A197" s="37"/>
      <c r="B197" s="92"/>
      <c r="C197" s="37"/>
      <c r="D197" s="37"/>
      <c r="E197" s="37"/>
      <c r="F197" s="190"/>
      <c r="G197" s="190"/>
      <c r="H197" s="190"/>
      <c r="I197" s="190"/>
      <c r="J197" s="190"/>
      <c r="K197" s="190"/>
      <c r="L197" s="37"/>
    </row>
    <row r="198" spans="1:12" ht="16.2">
      <c r="A198" s="37"/>
      <c r="B198" s="92"/>
      <c r="C198" s="37"/>
      <c r="D198" s="37"/>
      <c r="E198" s="37"/>
      <c r="F198" s="190"/>
      <c r="G198" s="190"/>
      <c r="H198" s="190"/>
      <c r="I198" s="190"/>
      <c r="J198" s="190"/>
      <c r="K198" s="190"/>
      <c r="L198" s="37"/>
    </row>
    <row r="199" spans="1:12" ht="16.2">
      <c r="A199" s="37"/>
      <c r="B199" s="92"/>
      <c r="C199" s="37"/>
      <c r="D199" s="37"/>
      <c r="E199" s="37"/>
      <c r="F199" s="190"/>
      <c r="G199" s="190"/>
      <c r="H199" s="190"/>
      <c r="I199" s="190"/>
      <c r="J199" s="190"/>
      <c r="K199" s="190"/>
      <c r="L199" s="37"/>
    </row>
    <row r="200" spans="1:12" ht="16.2">
      <c r="A200" s="37"/>
      <c r="B200" s="92"/>
      <c r="C200" s="37"/>
      <c r="D200" s="37"/>
      <c r="E200" s="37"/>
      <c r="F200" s="190"/>
      <c r="G200" s="190"/>
      <c r="H200" s="190"/>
      <c r="I200" s="190"/>
      <c r="J200" s="190"/>
      <c r="K200" s="190"/>
      <c r="L200" s="37"/>
    </row>
    <row r="201" spans="1:12" ht="16.2">
      <c r="A201" s="37"/>
      <c r="B201" s="92"/>
      <c r="C201" s="37"/>
      <c r="D201" s="37"/>
      <c r="E201" s="37"/>
      <c r="F201" s="190"/>
      <c r="G201" s="190"/>
      <c r="H201" s="190"/>
      <c r="I201" s="190"/>
      <c r="J201" s="190"/>
      <c r="K201" s="190"/>
      <c r="L201" s="37"/>
    </row>
    <row r="202" spans="1:12" ht="16.2">
      <c r="A202" s="37"/>
      <c r="B202" s="92"/>
      <c r="C202" s="37"/>
      <c r="D202" s="37"/>
      <c r="E202" s="37"/>
      <c r="F202" s="190"/>
      <c r="G202" s="190"/>
      <c r="H202" s="190"/>
      <c r="I202" s="190"/>
      <c r="J202" s="190"/>
      <c r="K202" s="190"/>
      <c r="L202" s="37"/>
    </row>
    <row r="203" spans="1:12" ht="16.2">
      <c r="A203" s="37"/>
      <c r="B203" s="92"/>
      <c r="C203" s="37"/>
      <c r="D203" s="37"/>
      <c r="E203" s="37"/>
      <c r="F203" s="190"/>
      <c r="G203" s="190"/>
      <c r="H203" s="190"/>
      <c r="I203" s="190"/>
      <c r="J203" s="190"/>
      <c r="K203" s="190"/>
      <c r="L203" s="37"/>
    </row>
    <row r="204" spans="1:12" ht="16.2">
      <c r="A204" s="37"/>
      <c r="B204" s="92"/>
      <c r="C204" s="37"/>
      <c r="D204" s="37"/>
      <c r="E204" s="37"/>
      <c r="F204" s="190"/>
      <c r="G204" s="190"/>
      <c r="H204" s="190"/>
      <c r="I204" s="190"/>
      <c r="J204" s="190"/>
      <c r="K204" s="190"/>
      <c r="L204" s="37"/>
    </row>
    <row r="205" spans="1:12" ht="16.2">
      <c r="A205" s="37"/>
      <c r="B205" s="92"/>
      <c r="C205" s="37"/>
      <c r="D205" s="37"/>
      <c r="E205" s="37"/>
      <c r="F205" s="190"/>
      <c r="G205" s="190"/>
      <c r="H205" s="190"/>
      <c r="I205" s="190"/>
      <c r="J205" s="190"/>
      <c r="K205" s="190"/>
      <c r="L205" s="37"/>
    </row>
    <row r="206" spans="1:12" ht="16.2">
      <c r="A206" s="37"/>
      <c r="B206" s="92"/>
      <c r="C206" s="37"/>
      <c r="D206" s="37"/>
      <c r="E206" s="37"/>
      <c r="F206" s="190"/>
      <c r="G206" s="190"/>
      <c r="H206" s="190"/>
      <c r="I206" s="190"/>
      <c r="J206" s="190"/>
      <c r="K206" s="190"/>
      <c r="L206" s="37"/>
    </row>
    <row r="207" spans="1:12" ht="16.2">
      <c r="A207" s="37"/>
      <c r="B207" s="92"/>
      <c r="C207" s="37"/>
      <c r="D207" s="37"/>
      <c r="E207" s="37"/>
      <c r="F207" s="190"/>
      <c r="G207" s="190"/>
      <c r="H207" s="190"/>
      <c r="I207" s="190"/>
      <c r="J207" s="190"/>
      <c r="K207" s="190"/>
      <c r="L207" s="37"/>
    </row>
    <row r="208" spans="1:12" ht="16.2">
      <c r="A208" s="37"/>
      <c r="B208" s="92"/>
      <c r="C208" s="37"/>
      <c r="D208" s="37"/>
      <c r="E208" s="37"/>
      <c r="F208" s="190"/>
      <c r="G208" s="190"/>
      <c r="H208" s="190"/>
      <c r="I208" s="190"/>
      <c r="J208" s="190"/>
      <c r="K208" s="190"/>
      <c r="L208" s="37"/>
    </row>
    <row r="209" spans="1:12" ht="16.2">
      <c r="A209" s="37"/>
      <c r="B209" s="92"/>
      <c r="C209" s="37"/>
      <c r="D209" s="37"/>
      <c r="E209" s="37"/>
      <c r="F209" s="190"/>
      <c r="G209" s="190"/>
      <c r="H209" s="190"/>
      <c r="I209" s="190"/>
      <c r="J209" s="190"/>
      <c r="K209" s="190"/>
      <c r="L209" s="37"/>
    </row>
    <row r="210" spans="1:12" ht="16.2">
      <c r="A210" s="37"/>
      <c r="B210" s="92"/>
      <c r="C210" s="37"/>
      <c r="D210" s="37"/>
      <c r="E210" s="37"/>
      <c r="F210" s="190"/>
      <c r="G210" s="190"/>
      <c r="H210" s="190"/>
      <c r="I210" s="190"/>
      <c r="J210" s="190"/>
      <c r="K210" s="190"/>
      <c r="L210" s="37"/>
    </row>
    <row r="211" spans="1:12" ht="16.2">
      <c r="A211" s="37"/>
      <c r="B211" s="92"/>
      <c r="C211" s="37"/>
      <c r="D211" s="37"/>
      <c r="E211" s="37"/>
      <c r="F211" s="190"/>
      <c r="G211" s="190"/>
      <c r="H211" s="190"/>
      <c r="I211" s="190"/>
      <c r="J211" s="190"/>
      <c r="K211" s="190"/>
      <c r="L211" s="37"/>
    </row>
    <row r="212" spans="1:12" ht="16.2">
      <c r="A212" s="37"/>
      <c r="B212" s="92"/>
      <c r="C212" s="37"/>
      <c r="D212" s="37"/>
      <c r="E212" s="37"/>
      <c r="F212" s="190"/>
      <c r="G212" s="190"/>
      <c r="H212" s="190"/>
      <c r="I212" s="190"/>
      <c r="J212" s="190"/>
      <c r="K212" s="190"/>
      <c r="L212" s="37"/>
    </row>
    <row r="213" spans="1:12" ht="16.2">
      <c r="A213" s="37"/>
      <c r="B213" s="92"/>
      <c r="C213" s="37"/>
      <c r="D213" s="37"/>
      <c r="E213" s="37"/>
      <c r="F213" s="190"/>
      <c r="G213" s="190"/>
      <c r="H213" s="190"/>
      <c r="I213" s="190"/>
      <c r="J213" s="190"/>
      <c r="K213" s="190"/>
      <c r="L213" s="37"/>
    </row>
    <row r="214" spans="1:12" ht="16.2">
      <c r="A214" s="37"/>
      <c r="B214" s="92"/>
      <c r="C214" s="37"/>
      <c r="D214" s="37"/>
      <c r="E214" s="37"/>
      <c r="F214" s="190"/>
      <c r="G214" s="190"/>
      <c r="H214" s="190"/>
      <c r="I214" s="190"/>
      <c r="J214" s="190"/>
      <c r="K214" s="190"/>
      <c r="L214" s="37"/>
    </row>
    <row r="215" spans="1:12" ht="16.2">
      <c r="A215" s="37"/>
      <c r="B215" s="92"/>
      <c r="C215" s="37"/>
      <c r="D215" s="37"/>
      <c r="E215" s="37"/>
      <c r="F215" s="190"/>
      <c r="G215" s="190"/>
      <c r="H215" s="190"/>
      <c r="I215" s="190"/>
      <c r="J215" s="190"/>
      <c r="K215" s="190"/>
      <c r="L215" s="37"/>
    </row>
    <row r="216" spans="1:12" ht="16.2">
      <c r="A216" s="37"/>
      <c r="B216" s="92"/>
      <c r="C216" s="37"/>
      <c r="D216" s="37"/>
      <c r="E216" s="37"/>
      <c r="F216" s="190"/>
      <c r="G216" s="190"/>
      <c r="H216" s="190"/>
      <c r="I216" s="190"/>
      <c r="J216" s="190"/>
      <c r="K216" s="190"/>
      <c r="L216" s="37"/>
    </row>
    <row r="217" spans="1:12" ht="16.2">
      <c r="A217" s="37"/>
      <c r="B217" s="92"/>
      <c r="C217" s="37"/>
      <c r="D217" s="37"/>
      <c r="E217" s="37"/>
      <c r="F217" s="190"/>
      <c r="G217" s="190"/>
      <c r="H217" s="190"/>
      <c r="I217" s="190"/>
      <c r="J217" s="190"/>
      <c r="K217" s="190"/>
      <c r="L217" s="37"/>
    </row>
    <row r="218" spans="1:12" ht="16.2">
      <c r="A218" s="37"/>
      <c r="B218" s="92"/>
      <c r="C218" s="37"/>
      <c r="D218" s="37"/>
      <c r="E218" s="37"/>
      <c r="F218" s="190"/>
      <c r="G218" s="190"/>
      <c r="H218" s="190"/>
      <c r="I218" s="190"/>
      <c r="J218" s="190"/>
      <c r="K218" s="190"/>
      <c r="L218" s="37"/>
    </row>
    <row r="219" spans="1:12" ht="16.2">
      <c r="A219" s="37"/>
      <c r="B219" s="92"/>
      <c r="C219" s="37"/>
      <c r="D219" s="37"/>
      <c r="E219" s="37"/>
      <c r="F219" s="190"/>
      <c r="G219" s="190"/>
      <c r="H219" s="190"/>
      <c r="I219" s="190"/>
      <c r="J219" s="190"/>
      <c r="K219" s="190"/>
      <c r="L219" s="37"/>
    </row>
    <row r="220" spans="1:12" ht="16.2">
      <c r="A220" s="37"/>
      <c r="B220" s="92"/>
      <c r="C220" s="37"/>
      <c r="D220" s="37"/>
      <c r="E220" s="37"/>
      <c r="F220" s="190"/>
      <c r="G220" s="190"/>
      <c r="H220" s="190"/>
      <c r="I220" s="190"/>
      <c r="J220" s="190"/>
      <c r="K220" s="190"/>
      <c r="L220" s="37"/>
    </row>
    <row r="221" spans="1:12" ht="16.2">
      <c r="A221" s="37"/>
      <c r="B221" s="92"/>
      <c r="C221" s="37"/>
      <c r="D221" s="37"/>
      <c r="E221" s="37"/>
      <c r="F221" s="190"/>
      <c r="G221" s="190"/>
      <c r="H221" s="190"/>
      <c r="I221" s="190"/>
      <c r="J221" s="190"/>
      <c r="K221" s="190"/>
      <c r="L221" s="37"/>
    </row>
    <row r="222" spans="1:12" ht="16.2">
      <c r="A222" s="37"/>
      <c r="B222" s="92"/>
      <c r="C222" s="37"/>
      <c r="D222" s="37"/>
      <c r="E222" s="37"/>
      <c r="F222" s="190"/>
      <c r="G222" s="190"/>
      <c r="H222" s="190"/>
      <c r="I222" s="190"/>
      <c r="J222" s="190"/>
      <c r="K222" s="190"/>
      <c r="L222" s="37"/>
    </row>
    <row r="223" spans="1:12" ht="16.2">
      <c r="A223" s="37"/>
      <c r="B223" s="92"/>
      <c r="C223" s="37"/>
      <c r="D223" s="37"/>
      <c r="E223" s="37"/>
      <c r="F223" s="190"/>
      <c r="G223" s="190"/>
      <c r="H223" s="190"/>
      <c r="I223" s="190"/>
      <c r="J223" s="190"/>
      <c r="K223" s="190"/>
      <c r="L223" s="37"/>
    </row>
    <row r="224" spans="1:12" ht="16.2">
      <c r="A224" s="37"/>
      <c r="B224" s="92"/>
      <c r="C224" s="37"/>
      <c r="D224" s="37"/>
      <c r="E224" s="37"/>
      <c r="F224" s="190"/>
      <c r="G224" s="190"/>
      <c r="H224" s="190"/>
      <c r="I224" s="190"/>
      <c r="J224" s="190"/>
      <c r="K224" s="190"/>
      <c r="L224" s="37"/>
    </row>
    <row r="225" spans="1:12" ht="16.2">
      <c r="A225" s="37"/>
      <c r="B225" s="92"/>
      <c r="C225" s="37"/>
      <c r="D225" s="37"/>
      <c r="E225" s="37"/>
      <c r="F225" s="190"/>
      <c r="G225" s="190"/>
      <c r="H225" s="190"/>
      <c r="I225" s="190"/>
      <c r="J225" s="190"/>
      <c r="K225" s="190"/>
      <c r="L225" s="37"/>
    </row>
    <row r="226" spans="1:12" ht="16.2">
      <c r="A226" s="37"/>
      <c r="B226" s="92"/>
      <c r="C226" s="37"/>
      <c r="D226" s="37"/>
      <c r="E226" s="37"/>
      <c r="F226" s="190"/>
      <c r="G226" s="190"/>
      <c r="H226" s="190"/>
      <c r="I226" s="190"/>
      <c r="J226" s="190"/>
      <c r="K226" s="190"/>
      <c r="L226" s="37"/>
    </row>
    <row r="227" spans="1:12" ht="16.2">
      <c r="A227" s="37"/>
      <c r="B227" s="92"/>
      <c r="C227" s="37"/>
      <c r="D227" s="37"/>
      <c r="E227" s="37"/>
      <c r="F227" s="190"/>
      <c r="G227" s="190"/>
      <c r="H227" s="190"/>
      <c r="I227" s="190"/>
      <c r="J227" s="190"/>
      <c r="K227" s="190"/>
      <c r="L227" s="37"/>
    </row>
    <row r="228" spans="1:12" ht="16.2">
      <c r="A228" s="37"/>
      <c r="B228" s="92"/>
      <c r="C228" s="37"/>
      <c r="D228" s="37"/>
      <c r="E228" s="37"/>
      <c r="F228" s="190"/>
      <c r="G228" s="190"/>
      <c r="H228" s="190"/>
      <c r="I228" s="190"/>
      <c r="J228" s="190"/>
      <c r="K228" s="190"/>
      <c r="L228" s="37"/>
    </row>
    <row r="229" spans="1:12" ht="16.2">
      <c r="A229" s="37"/>
      <c r="B229" s="92"/>
      <c r="C229" s="37"/>
      <c r="D229" s="37"/>
      <c r="E229" s="37"/>
      <c r="F229" s="190"/>
      <c r="G229" s="190"/>
      <c r="H229" s="190"/>
      <c r="I229" s="190"/>
      <c r="J229" s="190"/>
      <c r="K229" s="190"/>
      <c r="L229" s="37"/>
    </row>
    <row r="230" spans="1:12" ht="16.2">
      <c r="A230" s="37"/>
      <c r="B230" s="92"/>
      <c r="C230" s="37"/>
      <c r="D230" s="37"/>
      <c r="E230" s="37"/>
      <c r="F230" s="190"/>
      <c r="G230" s="190"/>
      <c r="H230" s="190"/>
      <c r="I230" s="190"/>
      <c r="J230" s="190"/>
      <c r="K230" s="190"/>
      <c r="L230" s="37"/>
    </row>
    <row r="231" spans="1:12" ht="16.2">
      <c r="A231" s="37"/>
      <c r="B231" s="92"/>
      <c r="C231" s="37"/>
      <c r="D231" s="37"/>
      <c r="E231" s="37"/>
      <c r="F231" s="190"/>
      <c r="G231" s="190"/>
      <c r="H231" s="190"/>
      <c r="I231" s="190"/>
      <c r="J231" s="190"/>
      <c r="K231" s="190"/>
      <c r="L231" s="37"/>
    </row>
    <row r="232" spans="1:12" ht="16.2">
      <c r="A232" s="37"/>
      <c r="B232" s="92"/>
      <c r="C232" s="37"/>
      <c r="D232" s="37"/>
      <c r="E232" s="37"/>
      <c r="F232" s="190"/>
      <c r="G232" s="190"/>
      <c r="H232" s="190"/>
      <c r="I232" s="190"/>
      <c r="J232" s="190"/>
      <c r="K232" s="190"/>
      <c r="L232" s="37"/>
    </row>
    <row r="233" spans="1:12" ht="16.2">
      <c r="A233" s="37"/>
      <c r="B233" s="92"/>
      <c r="C233" s="37"/>
      <c r="D233" s="37"/>
      <c r="E233" s="37"/>
      <c r="F233" s="190"/>
      <c r="G233" s="190"/>
      <c r="H233" s="190"/>
      <c r="I233" s="190"/>
      <c r="J233" s="190"/>
      <c r="K233" s="190"/>
      <c r="L233" s="37"/>
    </row>
    <row r="234" spans="1:12" ht="16.2">
      <c r="A234" s="37"/>
      <c r="B234" s="92"/>
      <c r="C234" s="37"/>
      <c r="D234" s="37"/>
      <c r="E234" s="37"/>
      <c r="F234" s="190"/>
      <c r="G234" s="190"/>
      <c r="H234" s="190"/>
      <c r="I234" s="190"/>
      <c r="J234" s="190"/>
      <c r="K234" s="190"/>
      <c r="L234" s="37"/>
    </row>
    <row r="235" spans="1:12" ht="16.2">
      <c r="A235" s="37"/>
      <c r="B235" s="92"/>
      <c r="C235" s="37"/>
      <c r="D235" s="37"/>
      <c r="E235" s="37"/>
      <c r="F235" s="190"/>
      <c r="G235" s="190"/>
      <c r="H235" s="190"/>
      <c r="I235" s="190"/>
      <c r="J235" s="190"/>
      <c r="K235" s="190"/>
      <c r="L235" s="37"/>
    </row>
    <row r="236" spans="1:12" ht="16.2">
      <c r="A236" s="37"/>
      <c r="B236" s="92"/>
      <c r="C236" s="37"/>
      <c r="D236" s="37"/>
      <c r="E236" s="37"/>
      <c r="F236" s="190"/>
      <c r="G236" s="190"/>
      <c r="H236" s="190"/>
      <c r="I236" s="190"/>
      <c r="J236" s="190"/>
      <c r="K236" s="190"/>
      <c r="L236" s="37"/>
    </row>
    <row r="237" spans="1:12" ht="16.2">
      <c r="A237" s="37"/>
      <c r="B237" s="92"/>
      <c r="C237" s="37"/>
      <c r="D237" s="37"/>
      <c r="E237" s="37"/>
      <c r="F237" s="190"/>
      <c r="G237" s="190"/>
      <c r="H237" s="190"/>
      <c r="I237" s="190"/>
      <c r="J237" s="190"/>
      <c r="K237" s="190"/>
      <c r="L237" s="37"/>
    </row>
    <row r="238" spans="1:12" ht="16.2">
      <c r="A238" s="37"/>
      <c r="B238" s="92"/>
      <c r="C238" s="37"/>
      <c r="D238" s="37"/>
      <c r="E238" s="37"/>
      <c r="F238" s="190"/>
      <c r="G238" s="190"/>
      <c r="H238" s="190"/>
      <c r="I238" s="190"/>
      <c r="J238" s="190"/>
      <c r="K238" s="190"/>
      <c r="L238" s="37"/>
    </row>
    <row r="239" spans="1:12" ht="16.2">
      <c r="A239" s="37"/>
      <c r="B239" s="92"/>
      <c r="C239" s="37"/>
      <c r="D239" s="37"/>
      <c r="E239" s="37"/>
      <c r="F239" s="190"/>
      <c r="G239" s="190"/>
      <c r="H239" s="190"/>
      <c r="I239" s="190"/>
      <c r="J239" s="190"/>
      <c r="K239" s="190"/>
      <c r="L239" s="37"/>
    </row>
    <row r="240" spans="1:12" ht="16.2">
      <c r="A240" s="37"/>
      <c r="B240" s="92"/>
      <c r="C240" s="37"/>
      <c r="D240" s="37"/>
      <c r="E240" s="37"/>
      <c r="F240" s="190"/>
      <c r="G240" s="190"/>
      <c r="H240" s="190"/>
      <c r="I240" s="190"/>
      <c r="J240" s="190"/>
      <c r="K240" s="190"/>
      <c r="L240" s="37"/>
    </row>
    <row r="241" spans="1:12" ht="16.2">
      <c r="A241" s="37"/>
      <c r="B241" s="92"/>
      <c r="C241" s="37"/>
      <c r="D241" s="37"/>
      <c r="E241" s="37"/>
      <c r="F241" s="190"/>
      <c r="G241" s="190"/>
      <c r="H241" s="190"/>
      <c r="I241" s="190"/>
      <c r="J241" s="190"/>
      <c r="K241" s="190"/>
      <c r="L241" s="37"/>
    </row>
    <row r="242" spans="1:12" ht="16.2">
      <c r="A242" s="37"/>
      <c r="B242" s="92"/>
      <c r="C242" s="37"/>
      <c r="D242" s="37"/>
      <c r="E242" s="37"/>
      <c r="F242" s="190"/>
      <c r="G242" s="190"/>
      <c r="H242" s="190"/>
      <c r="I242" s="190"/>
      <c r="J242" s="190"/>
      <c r="K242" s="190"/>
      <c r="L242" s="37"/>
    </row>
    <row r="243" spans="1:12" ht="16.2">
      <c r="A243" s="37"/>
      <c r="B243" s="92"/>
      <c r="C243" s="37"/>
      <c r="D243" s="37"/>
      <c r="E243" s="37"/>
      <c r="F243" s="190"/>
      <c r="G243" s="190"/>
      <c r="H243" s="190"/>
      <c r="I243" s="190"/>
      <c r="J243" s="190"/>
      <c r="K243" s="190"/>
      <c r="L243" s="37"/>
    </row>
    <row r="244" spans="1:12" ht="16.2">
      <c r="A244" s="37"/>
      <c r="B244" s="92"/>
      <c r="C244" s="37"/>
      <c r="D244" s="37"/>
      <c r="E244" s="37"/>
      <c r="F244" s="190"/>
      <c r="G244" s="190"/>
      <c r="H244" s="190"/>
      <c r="I244" s="190"/>
      <c r="J244" s="190"/>
      <c r="K244" s="190"/>
      <c r="L244" s="37"/>
    </row>
    <row r="245" spans="1:12" ht="16.2">
      <c r="A245" s="37"/>
      <c r="B245" s="92"/>
      <c r="C245" s="37"/>
      <c r="D245" s="37"/>
      <c r="E245" s="37"/>
      <c r="F245" s="190"/>
      <c r="G245" s="190"/>
      <c r="H245" s="190"/>
      <c r="I245" s="190"/>
      <c r="J245" s="190"/>
      <c r="K245" s="190"/>
      <c r="L245" s="37"/>
    </row>
    <row r="246" spans="1:12" ht="16.2">
      <c r="A246" s="37"/>
      <c r="B246" s="92"/>
      <c r="C246" s="37"/>
      <c r="D246" s="37"/>
      <c r="E246" s="37"/>
      <c r="F246" s="190"/>
      <c r="G246" s="190"/>
      <c r="H246" s="190"/>
      <c r="I246" s="190"/>
      <c r="J246" s="190"/>
      <c r="K246" s="190"/>
      <c r="L246" s="37"/>
    </row>
    <row r="247" spans="1:12" ht="16.2">
      <c r="A247" s="37"/>
      <c r="B247" s="92"/>
      <c r="C247" s="37"/>
      <c r="D247" s="37"/>
      <c r="E247" s="37"/>
      <c r="F247" s="190"/>
      <c r="G247" s="190"/>
      <c r="H247" s="190"/>
      <c r="I247" s="190"/>
      <c r="J247" s="190"/>
      <c r="K247" s="190"/>
      <c r="L247" s="37"/>
    </row>
    <row r="248" spans="1:12" ht="16.2">
      <c r="A248" s="37"/>
      <c r="B248" s="92"/>
      <c r="C248" s="37"/>
      <c r="D248" s="37"/>
      <c r="E248" s="37"/>
      <c r="F248" s="190"/>
      <c r="G248" s="190"/>
      <c r="H248" s="190"/>
      <c r="I248" s="190"/>
      <c r="J248" s="190"/>
      <c r="K248" s="190"/>
      <c r="L248" s="37"/>
    </row>
    <row r="249" spans="1:12" ht="16.2">
      <c r="A249" s="37"/>
      <c r="B249" s="92"/>
      <c r="C249" s="37"/>
      <c r="D249" s="37"/>
      <c r="E249" s="37"/>
      <c r="F249" s="190"/>
      <c r="G249" s="190"/>
      <c r="H249" s="190"/>
      <c r="I249" s="190"/>
      <c r="J249" s="190"/>
      <c r="K249" s="190"/>
      <c r="L249" s="37"/>
    </row>
    <row r="250" spans="1:12" ht="16.2">
      <c r="A250" s="37"/>
      <c r="B250" s="92"/>
      <c r="C250" s="37"/>
      <c r="D250" s="37"/>
      <c r="E250" s="37"/>
      <c r="F250" s="190"/>
      <c r="G250" s="190"/>
      <c r="H250" s="190"/>
      <c r="I250" s="190"/>
      <c r="J250" s="190"/>
      <c r="K250" s="190"/>
      <c r="L250" s="37"/>
    </row>
    <row r="251" spans="1:12" ht="16.2">
      <c r="A251" s="37"/>
      <c r="B251" s="92"/>
      <c r="C251" s="37"/>
      <c r="D251" s="37"/>
      <c r="E251" s="37"/>
      <c r="F251" s="190"/>
      <c r="G251" s="190"/>
      <c r="H251" s="190"/>
      <c r="I251" s="190"/>
      <c r="J251" s="190"/>
      <c r="K251" s="190"/>
      <c r="L251" s="37"/>
    </row>
    <row r="252" spans="1:12" ht="16.2">
      <c r="A252" s="37"/>
      <c r="B252" s="92"/>
      <c r="C252" s="37"/>
      <c r="D252" s="37"/>
      <c r="E252" s="37"/>
      <c r="F252" s="190"/>
      <c r="G252" s="190"/>
      <c r="H252" s="190"/>
      <c r="I252" s="190"/>
      <c r="J252" s="190"/>
      <c r="K252" s="190"/>
      <c r="L252" s="37"/>
    </row>
    <row r="253" spans="1:12" ht="16.2">
      <c r="A253" s="37"/>
      <c r="B253" s="92"/>
      <c r="C253" s="37"/>
      <c r="D253" s="37"/>
      <c r="E253" s="37"/>
      <c r="F253" s="190"/>
      <c r="G253" s="190"/>
      <c r="H253" s="190"/>
      <c r="I253" s="190"/>
      <c r="J253" s="190"/>
      <c r="K253" s="190"/>
      <c r="L253" s="37"/>
    </row>
    <row r="254" spans="1:12" ht="16.2">
      <c r="A254" s="37"/>
      <c r="B254" s="92"/>
      <c r="C254" s="37"/>
      <c r="D254" s="37"/>
      <c r="E254" s="37"/>
      <c r="F254" s="190"/>
      <c r="G254" s="190"/>
      <c r="H254" s="190"/>
      <c r="I254" s="190"/>
      <c r="J254" s="190"/>
      <c r="K254" s="190"/>
      <c r="L254" s="37"/>
    </row>
    <row r="255" spans="1:12" ht="16.2">
      <c r="A255" s="37"/>
      <c r="B255" s="92"/>
      <c r="C255" s="37"/>
      <c r="D255" s="37"/>
      <c r="E255" s="37"/>
      <c r="F255" s="190"/>
      <c r="G255" s="190"/>
      <c r="H255" s="190"/>
      <c r="I255" s="190"/>
      <c r="J255" s="190"/>
      <c r="K255" s="190"/>
      <c r="L255" s="37"/>
    </row>
    <row r="256" spans="1:12" ht="16.2">
      <c r="A256" s="37"/>
      <c r="B256" s="92"/>
      <c r="C256" s="37"/>
      <c r="D256" s="37"/>
      <c r="E256" s="37"/>
      <c r="F256" s="190"/>
      <c r="G256" s="190"/>
      <c r="H256" s="190"/>
      <c r="I256" s="190"/>
      <c r="J256" s="190"/>
      <c r="K256" s="190"/>
      <c r="L256" s="37"/>
    </row>
    <row r="257" spans="1:12">
      <c r="A257"/>
      <c r="B257"/>
      <c r="C257"/>
      <c r="D257"/>
      <c r="E257"/>
      <c r="F257"/>
      <c r="G257"/>
      <c r="H257"/>
      <c r="I257"/>
      <c r="J257"/>
      <c r="K257"/>
      <c r="L257"/>
    </row>
    <row r="258" spans="1:12">
      <c r="A258"/>
      <c r="B258"/>
      <c r="C258"/>
      <c r="D258"/>
      <c r="E258"/>
      <c r="F258"/>
      <c r="G258"/>
      <c r="H258"/>
      <c r="I258"/>
      <c r="J258"/>
      <c r="K258"/>
      <c r="L258"/>
    </row>
    <row r="259" spans="1:12">
      <c r="A259"/>
      <c r="B259"/>
      <c r="C259"/>
      <c r="D259"/>
      <c r="E259"/>
      <c r="F259"/>
      <c r="G259"/>
      <c r="H259"/>
      <c r="I259"/>
      <c r="J259"/>
      <c r="K259"/>
      <c r="L259"/>
    </row>
    <row r="260" spans="1:12">
      <c r="A260"/>
      <c r="B260"/>
      <c r="C260"/>
      <c r="D260"/>
      <c r="E260"/>
      <c r="F260"/>
      <c r="G260"/>
      <c r="H260"/>
      <c r="I260"/>
      <c r="J260"/>
      <c r="K260"/>
      <c r="L260"/>
    </row>
    <row r="261" spans="1:12">
      <c r="A261"/>
      <c r="B261"/>
      <c r="C261"/>
      <c r="D261"/>
      <c r="E261"/>
      <c r="F261"/>
      <c r="G261"/>
      <c r="H261"/>
      <c r="I261"/>
      <c r="J261"/>
      <c r="K261"/>
      <c r="L261"/>
    </row>
    <row r="262" spans="1:12">
      <c r="A262"/>
      <c r="B262"/>
      <c r="C262"/>
      <c r="D262"/>
      <c r="E262"/>
      <c r="F262"/>
      <c r="G262"/>
      <c r="H262"/>
      <c r="I262"/>
      <c r="J262"/>
      <c r="K262"/>
      <c r="L262"/>
    </row>
    <row r="263" spans="1:12">
      <c r="A263"/>
      <c r="B263"/>
      <c r="C263"/>
      <c r="D263"/>
      <c r="E263"/>
      <c r="F263"/>
      <c r="G263"/>
      <c r="H263"/>
      <c r="I263"/>
      <c r="J263"/>
      <c r="K263"/>
      <c r="L263"/>
    </row>
    <row r="264" spans="1:12">
      <c r="A264"/>
      <c r="B264"/>
      <c r="C264"/>
      <c r="D264"/>
      <c r="E264"/>
      <c r="F264"/>
      <c r="G264"/>
      <c r="H264"/>
      <c r="I264"/>
      <c r="J264"/>
      <c r="K264"/>
      <c r="L264"/>
    </row>
    <row r="265" spans="1:12">
      <c r="A265"/>
      <c r="B265"/>
      <c r="C265"/>
      <c r="D265"/>
      <c r="E265"/>
      <c r="F265"/>
      <c r="G265"/>
      <c r="H265"/>
      <c r="I265"/>
      <c r="J265"/>
      <c r="K265"/>
      <c r="L265"/>
    </row>
    <row r="266" spans="1:12">
      <c r="A266"/>
      <c r="B266"/>
      <c r="C266"/>
      <c r="D266"/>
      <c r="E266"/>
      <c r="F266"/>
      <c r="G266"/>
      <c r="H266"/>
      <c r="I266"/>
      <c r="J266"/>
      <c r="K266"/>
      <c r="L266"/>
    </row>
    <row r="267" spans="1:12">
      <c r="A267"/>
      <c r="B267"/>
      <c r="C267"/>
      <c r="D267"/>
      <c r="E267"/>
      <c r="F267"/>
      <c r="G267"/>
      <c r="H267"/>
      <c r="I267"/>
      <c r="J267"/>
      <c r="K267"/>
      <c r="L267"/>
    </row>
    <row r="268" spans="1:12">
      <c r="A268"/>
      <c r="B268"/>
      <c r="C268"/>
      <c r="D268"/>
      <c r="E268"/>
      <c r="F268"/>
      <c r="G268"/>
      <c r="H268"/>
      <c r="I268"/>
      <c r="J268"/>
      <c r="K268"/>
      <c r="L268"/>
    </row>
    <row r="269" spans="1:12">
      <c r="A269"/>
      <c r="B269"/>
      <c r="C269"/>
      <c r="D269"/>
      <c r="E269"/>
      <c r="F269"/>
      <c r="G269"/>
      <c r="H269"/>
      <c r="I269"/>
      <c r="J269"/>
      <c r="K269"/>
      <c r="L269"/>
    </row>
    <row r="270" spans="1:12">
      <c r="A270"/>
      <c r="B270"/>
      <c r="C270"/>
      <c r="D270"/>
      <c r="E270"/>
      <c r="F270"/>
      <c r="G270"/>
      <c r="H270"/>
      <c r="I270"/>
      <c r="J270"/>
      <c r="K270"/>
      <c r="L270"/>
    </row>
    <row r="271" spans="1:12">
      <c r="A271"/>
      <c r="B271"/>
      <c r="C271"/>
      <c r="D271"/>
      <c r="E271"/>
      <c r="F271"/>
      <c r="G271"/>
      <c r="H271"/>
      <c r="I271"/>
      <c r="J271"/>
      <c r="K271"/>
      <c r="L271"/>
    </row>
    <row r="272" spans="1:12">
      <c r="A272"/>
      <c r="B272"/>
      <c r="C272"/>
      <c r="D272"/>
      <c r="E272"/>
      <c r="F272"/>
      <c r="G272"/>
      <c r="H272"/>
      <c r="I272"/>
      <c r="J272"/>
      <c r="K272"/>
      <c r="L272"/>
    </row>
    <row r="273" spans="1:12">
      <c r="A273"/>
      <c r="B273"/>
      <c r="C273"/>
      <c r="D273"/>
      <c r="E273"/>
      <c r="F273"/>
      <c r="G273"/>
      <c r="H273"/>
      <c r="I273"/>
      <c r="J273"/>
      <c r="K273"/>
      <c r="L273"/>
    </row>
    <row r="274" spans="1:12">
      <c r="A274"/>
      <c r="B274"/>
      <c r="C274"/>
      <c r="D274"/>
      <c r="E274"/>
      <c r="F274"/>
      <c r="G274"/>
      <c r="H274"/>
      <c r="I274"/>
      <c r="J274"/>
      <c r="K274"/>
      <c r="L274"/>
    </row>
    <row r="275" spans="1:12">
      <c r="A275"/>
      <c r="B275"/>
      <c r="C275"/>
      <c r="D275"/>
      <c r="E275"/>
      <c r="F275"/>
      <c r="G275"/>
      <c r="H275"/>
      <c r="I275"/>
      <c r="J275"/>
      <c r="K275"/>
      <c r="L275"/>
    </row>
    <row r="276" spans="1:12">
      <c r="A276"/>
      <c r="B276"/>
      <c r="C276"/>
      <c r="D276"/>
      <c r="E276"/>
      <c r="F276"/>
      <c r="G276"/>
      <c r="H276"/>
      <c r="I276"/>
      <c r="J276"/>
      <c r="K276"/>
      <c r="L276"/>
    </row>
    <row r="277" spans="1:12">
      <c r="A277"/>
      <c r="B277"/>
      <c r="C277"/>
      <c r="D277"/>
      <c r="E277"/>
      <c r="F277"/>
      <c r="G277"/>
      <c r="H277"/>
      <c r="I277"/>
      <c r="J277"/>
      <c r="K277"/>
      <c r="L277"/>
    </row>
    <row r="278" spans="1:12">
      <c r="A278"/>
      <c r="B278"/>
      <c r="C278"/>
      <c r="D278"/>
      <c r="E278"/>
      <c r="F278"/>
      <c r="G278"/>
      <c r="H278"/>
      <c r="I278"/>
      <c r="J278"/>
      <c r="K278"/>
      <c r="L278"/>
    </row>
    <row r="279" spans="1:12">
      <c r="A279"/>
      <c r="B279"/>
      <c r="C279"/>
      <c r="D279"/>
      <c r="E279"/>
      <c r="F279"/>
      <c r="G279"/>
      <c r="H279"/>
      <c r="I279"/>
      <c r="J279"/>
      <c r="K279"/>
      <c r="L279"/>
    </row>
    <row r="280" spans="1:12">
      <c r="A280"/>
      <c r="B280"/>
      <c r="C280"/>
      <c r="D280"/>
      <c r="E280"/>
      <c r="F280"/>
      <c r="G280"/>
      <c r="H280"/>
      <c r="I280"/>
      <c r="J280"/>
      <c r="K280"/>
      <c r="L280"/>
    </row>
    <row r="281" spans="1:12">
      <c r="A281"/>
      <c r="B281"/>
      <c r="C281"/>
      <c r="D281"/>
      <c r="E281"/>
      <c r="F281"/>
      <c r="G281"/>
      <c r="H281"/>
      <c r="I281"/>
      <c r="J281"/>
      <c r="K281"/>
      <c r="L281"/>
    </row>
    <row r="282" spans="1:12">
      <c r="A282"/>
      <c r="B282"/>
      <c r="C282"/>
      <c r="D282"/>
      <c r="E282"/>
      <c r="F282"/>
      <c r="G282"/>
      <c r="H282"/>
      <c r="I282"/>
      <c r="J282"/>
      <c r="K282"/>
      <c r="L282"/>
    </row>
    <row r="283" spans="1:12">
      <c r="A283"/>
      <c r="B283"/>
      <c r="C283"/>
      <c r="D283"/>
      <c r="E283"/>
      <c r="F283"/>
      <c r="G283"/>
      <c r="H283"/>
      <c r="I283"/>
      <c r="J283"/>
      <c r="K283"/>
      <c r="L283"/>
    </row>
    <row r="284" spans="1:12">
      <c r="A284"/>
      <c r="B284"/>
      <c r="C284"/>
      <c r="D284"/>
      <c r="E284"/>
      <c r="F284"/>
      <c r="G284"/>
      <c r="H284"/>
      <c r="I284"/>
      <c r="J284"/>
      <c r="K284"/>
      <c r="L284"/>
    </row>
    <row r="285" spans="1:12">
      <c r="A285"/>
      <c r="B285"/>
      <c r="C285"/>
      <c r="D285"/>
      <c r="E285"/>
      <c r="F285"/>
      <c r="G285"/>
      <c r="H285"/>
      <c r="I285"/>
      <c r="J285"/>
      <c r="K285"/>
      <c r="L285"/>
    </row>
    <row r="286" spans="1:12">
      <c r="A286"/>
      <c r="B286"/>
      <c r="C286"/>
      <c r="D286"/>
      <c r="E286"/>
      <c r="F286"/>
      <c r="G286"/>
      <c r="H286"/>
      <c r="I286"/>
      <c r="J286"/>
      <c r="K286"/>
      <c r="L286"/>
    </row>
    <row r="287" spans="1:12">
      <c r="A287"/>
      <c r="B287"/>
      <c r="C287"/>
      <c r="D287"/>
      <c r="E287"/>
      <c r="F287"/>
      <c r="G287"/>
      <c r="H287"/>
      <c r="I287"/>
      <c r="J287"/>
      <c r="K287"/>
      <c r="L287"/>
    </row>
    <row r="288" spans="1:12">
      <c r="A288"/>
      <c r="B288"/>
      <c r="C288"/>
      <c r="D288"/>
      <c r="E288"/>
      <c r="F288"/>
      <c r="G288"/>
      <c r="H288"/>
      <c r="I288"/>
      <c r="J288"/>
      <c r="K288"/>
      <c r="L288"/>
    </row>
    <row r="289" spans="1:12">
      <c r="A289"/>
      <c r="B289"/>
      <c r="C289"/>
      <c r="D289"/>
      <c r="E289"/>
      <c r="F289"/>
      <c r="G289"/>
      <c r="H289"/>
      <c r="I289"/>
      <c r="J289"/>
      <c r="K289"/>
      <c r="L289"/>
    </row>
    <row r="290" spans="1:12">
      <c r="A290"/>
      <c r="B290"/>
      <c r="C290"/>
      <c r="D290"/>
      <c r="E290"/>
      <c r="F290"/>
      <c r="G290"/>
      <c r="H290"/>
      <c r="I290"/>
      <c r="J290"/>
      <c r="K290"/>
      <c r="L290"/>
    </row>
    <row r="291" spans="1:12">
      <c r="A291"/>
      <c r="B291"/>
      <c r="C291"/>
      <c r="D291"/>
      <c r="E291"/>
      <c r="F291"/>
      <c r="G291"/>
      <c r="H291"/>
      <c r="I291"/>
      <c r="J291"/>
      <c r="K291"/>
      <c r="L291"/>
    </row>
    <row r="292" spans="1:12">
      <c r="A292"/>
      <c r="B292"/>
      <c r="C292"/>
      <c r="D292"/>
      <c r="E292"/>
      <c r="F292"/>
      <c r="G292"/>
      <c r="H292"/>
      <c r="I292"/>
      <c r="J292"/>
      <c r="K292"/>
      <c r="L292"/>
    </row>
    <row r="293" spans="1:12">
      <c r="A293"/>
      <c r="B293"/>
      <c r="C293"/>
      <c r="D293"/>
      <c r="E293"/>
      <c r="F293"/>
      <c r="G293"/>
      <c r="H293"/>
      <c r="I293"/>
      <c r="J293"/>
      <c r="K293"/>
      <c r="L293"/>
    </row>
    <row r="294" spans="1:12">
      <c r="A294"/>
      <c r="B294"/>
      <c r="C294"/>
      <c r="D294"/>
      <c r="E294"/>
      <c r="F294"/>
      <c r="G294"/>
      <c r="H294"/>
      <c r="I294"/>
      <c r="J294"/>
      <c r="K294"/>
      <c r="L294"/>
    </row>
    <row r="295" spans="1:12">
      <c r="A295"/>
      <c r="B295"/>
      <c r="C295"/>
      <c r="D295"/>
      <c r="E295"/>
      <c r="F295"/>
      <c r="G295"/>
      <c r="H295"/>
      <c r="I295"/>
      <c r="J295"/>
      <c r="K295"/>
      <c r="L295"/>
    </row>
    <row r="296" spans="1:12">
      <c r="A296"/>
      <c r="B296"/>
      <c r="C296"/>
      <c r="D296"/>
      <c r="E296"/>
      <c r="F296"/>
      <c r="G296"/>
      <c r="H296"/>
      <c r="I296"/>
      <c r="J296"/>
      <c r="K296"/>
      <c r="L296"/>
    </row>
    <row r="297" spans="1:12">
      <c r="A297"/>
      <c r="B297"/>
      <c r="C297"/>
      <c r="D297"/>
      <c r="E297"/>
      <c r="F297"/>
      <c r="G297"/>
      <c r="H297"/>
      <c r="I297"/>
      <c r="J297"/>
      <c r="K297"/>
      <c r="L297"/>
    </row>
    <row r="298" spans="1:12">
      <c r="A298"/>
      <c r="B298"/>
      <c r="C298"/>
      <c r="D298"/>
      <c r="E298"/>
      <c r="F298"/>
      <c r="G298"/>
      <c r="H298"/>
      <c r="I298"/>
      <c r="J298"/>
      <c r="K298"/>
      <c r="L298"/>
    </row>
    <row r="299" spans="1:12">
      <c r="A299"/>
      <c r="B299"/>
      <c r="C299"/>
      <c r="D299"/>
      <c r="E299"/>
      <c r="F299"/>
      <c r="G299"/>
      <c r="H299"/>
      <c r="I299"/>
      <c r="J299"/>
      <c r="K299"/>
      <c r="L299"/>
    </row>
    <row r="300" spans="1:12">
      <c r="A300"/>
      <c r="B300"/>
      <c r="C300"/>
      <c r="D300"/>
      <c r="E300"/>
      <c r="F300"/>
      <c r="G300"/>
      <c r="H300"/>
      <c r="I300"/>
      <c r="J300"/>
      <c r="K300"/>
      <c r="L300"/>
    </row>
    <row r="301" spans="1:12">
      <c r="A301"/>
      <c r="B301"/>
      <c r="C301"/>
      <c r="D301"/>
      <c r="E301"/>
      <c r="F301"/>
      <c r="G301"/>
      <c r="H301"/>
      <c r="I301"/>
      <c r="J301"/>
      <c r="K301"/>
      <c r="L301"/>
    </row>
    <row r="302" spans="1:12">
      <c r="A302"/>
      <c r="B302"/>
      <c r="C302"/>
      <c r="D302"/>
      <c r="E302"/>
      <c r="F302"/>
      <c r="G302"/>
      <c r="H302"/>
      <c r="I302"/>
      <c r="J302"/>
      <c r="K302"/>
      <c r="L302"/>
    </row>
    <row r="303" spans="1:12">
      <c r="A303"/>
      <c r="B303"/>
      <c r="C303"/>
      <c r="D303"/>
      <c r="E303"/>
      <c r="F303"/>
      <c r="G303"/>
      <c r="H303"/>
      <c r="I303"/>
      <c r="J303"/>
      <c r="K303"/>
      <c r="L303"/>
    </row>
    <row r="304" spans="1:12">
      <c r="A304"/>
      <c r="B304"/>
      <c r="C304"/>
      <c r="D304"/>
      <c r="E304"/>
      <c r="F304"/>
      <c r="G304"/>
      <c r="H304"/>
      <c r="I304"/>
      <c r="J304"/>
      <c r="K304"/>
      <c r="L304"/>
    </row>
    <row r="305" spans="1:12">
      <c r="A305"/>
      <c r="B305"/>
      <c r="C305"/>
      <c r="D305"/>
      <c r="E305"/>
      <c r="F305"/>
      <c r="G305"/>
      <c r="H305"/>
      <c r="I305"/>
      <c r="J305"/>
      <c r="K305"/>
      <c r="L305"/>
    </row>
    <row r="306" spans="1:12">
      <c r="A306"/>
      <c r="B306"/>
      <c r="C306"/>
      <c r="D306"/>
      <c r="E306"/>
      <c r="F306"/>
      <c r="G306"/>
      <c r="H306"/>
      <c r="I306"/>
      <c r="J306"/>
      <c r="K306"/>
      <c r="L306"/>
    </row>
    <row r="307" spans="1:12">
      <c r="A307"/>
      <c r="B307"/>
      <c r="C307"/>
      <c r="D307"/>
      <c r="E307"/>
      <c r="F307"/>
      <c r="G307"/>
      <c r="H307"/>
      <c r="I307"/>
      <c r="J307"/>
      <c r="K307"/>
      <c r="L307"/>
    </row>
    <row r="308" spans="1:12">
      <c r="A308"/>
      <c r="B308"/>
      <c r="C308"/>
      <c r="D308"/>
      <c r="E308"/>
      <c r="F308"/>
      <c r="G308"/>
      <c r="H308"/>
      <c r="I308"/>
      <c r="J308"/>
      <c r="K308"/>
      <c r="L308"/>
    </row>
    <row r="309" spans="1:12">
      <c r="A309"/>
      <c r="B309"/>
      <c r="C309"/>
      <c r="D309"/>
      <c r="E309"/>
      <c r="F309"/>
      <c r="G309"/>
      <c r="H309"/>
      <c r="I309"/>
      <c r="J309"/>
      <c r="K309"/>
      <c r="L309"/>
    </row>
    <row r="310" spans="1:12">
      <c r="A310"/>
      <c r="B310"/>
      <c r="C310"/>
      <c r="D310"/>
      <c r="E310"/>
      <c r="F310"/>
      <c r="G310"/>
      <c r="H310"/>
      <c r="I310"/>
      <c r="J310"/>
      <c r="K310"/>
      <c r="L310"/>
    </row>
    <row r="311" spans="1:12">
      <c r="A311"/>
      <c r="B311"/>
      <c r="C311"/>
      <c r="D311"/>
      <c r="E311"/>
      <c r="F311"/>
      <c r="G311"/>
      <c r="H311"/>
      <c r="I311"/>
      <c r="J311"/>
      <c r="K311"/>
      <c r="L311"/>
    </row>
    <row r="312" spans="1:12">
      <c r="A312"/>
      <c r="B312"/>
      <c r="C312"/>
      <c r="D312"/>
      <c r="E312"/>
      <c r="F312"/>
      <c r="G312"/>
      <c r="H312"/>
      <c r="I312"/>
      <c r="J312"/>
      <c r="K312"/>
      <c r="L312"/>
    </row>
    <row r="313" spans="1:12">
      <c r="A313"/>
      <c r="B313"/>
      <c r="C313"/>
      <c r="D313"/>
      <c r="E313"/>
      <c r="F313"/>
      <c r="G313"/>
      <c r="H313"/>
      <c r="I313"/>
      <c r="J313"/>
      <c r="K313"/>
      <c r="L313"/>
    </row>
    <row r="314" spans="1:12">
      <c r="A314"/>
      <c r="B314"/>
      <c r="C314"/>
      <c r="D314"/>
      <c r="E314"/>
      <c r="F314"/>
      <c r="G314"/>
      <c r="H314"/>
      <c r="I314"/>
      <c r="J314"/>
      <c r="K314"/>
      <c r="L314"/>
    </row>
    <row r="315" spans="1:12">
      <c r="A315"/>
      <c r="B315"/>
      <c r="C315"/>
      <c r="D315"/>
      <c r="E315"/>
      <c r="F315"/>
      <c r="G315"/>
      <c r="H315"/>
      <c r="I315"/>
      <c r="J315"/>
      <c r="K315"/>
      <c r="L315"/>
    </row>
    <row r="316" spans="1:12">
      <c r="A316"/>
      <c r="B316"/>
      <c r="C316"/>
      <c r="D316"/>
      <c r="E316"/>
      <c r="F316"/>
      <c r="G316"/>
      <c r="H316"/>
      <c r="I316"/>
      <c r="J316"/>
      <c r="K316"/>
      <c r="L316"/>
    </row>
    <row r="317" spans="1:12">
      <c r="A317"/>
      <c r="B317"/>
      <c r="C317"/>
      <c r="D317"/>
      <c r="E317"/>
      <c r="F317"/>
      <c r="G317"/>
      <c r="H317"/>
      <c r="I317"/>
      <c r="J317"/>
      <c r="K317"/>
      <c r="L317"/>
    </row>
    <row r="318" spans="1:12">
      <c r="A318"/>
      <c r="B318"/>
      <c r="C318"/>
      <c r="D318"/>
      <c r="E318"/>
      <c r="F318"/>
      <c r="G318"/>
      <c r="H318"/>
      <c r="I318"/>
      <c r="J318"/>
      <c r="K318"/>
      <c r="L318"/>
    </row>
    <row r="319" spans="1:12">
      <c r="A319"/>
      <c r="B319"/>
      <c r="C319"/>
      <c r="D319"/>
      <c r="E319"/>
      <c r="F319"/>
      <c r="G319"/>
      <c r="H319"/>
      <c r="I319"/>
      <c r="J319"/>
      <c r="K319"/>
      <c r="L319"/>
    </row>
    <row r="320" spans="1:12">
      <c r="A320"/>
      <c r="B320"/>
      <c r="C320"/>
      <c r="D320"/>
      <c r="E320"/>
      <c r="F320"/>
      <c r="G320"/>
      <c r="H320"/>
      <c r="I320"/>
      <c r="J320"/>
      <c r="K320"/>
      <c r="L320"/>
    </row>
    <row r="321" spans="1:12">
      <c r="A321"/>
      <c r="B321"/>
      <c r="C321"/>
      <c r="D321"/>
      <c r="E321"/>
      <c r="F321"/>
      <c r="G321"/>
      <c r="H321"/>
      <c r="I321"/>
      <c r="J321"/>
      <c r="K321"/>
      <c r="L321"/>
    </row>
    <row r="322" spans="1:12">
      <c r="A322"/>
      <c r="B322"/>
      <c r="C322"/>
      <c r="D322"/>
      <c r="E322"/>
      <c r="F322"/>
      <c r="G322"/>
      <c r="H322"/>
      <c r="I322"/>
      <c r="J322"/>
      <c r="K322"/>
      <c r="L322"/>
    </row>
    <row r="323" spans="1:12">
      <c r="A323"/>
      <c r="B323"/>
      <c r="C323"/>
      <c r="D323"/>
      <c r="E323"/>
      <c r="F323"/>
      <c r="G323"/>
      <c r="H323"/>
      <c r="I323"/>
      <c r="J323"/>
      <c r="K323"/>
      <c r="L323"/>
    </row>
    <row r="324" spans="1:12">
      <c r="A324"/>
      <c r="B324"/>
      <c r="C324"/>
      <c r="D324"/>
      <c r="E324"/>
      <c r="F324"/>
      <c r="G324"/>
      <c r="H324"/>
      <c r="I324"/>
      <c r="J324"/>
      <c r="K324"/>
      <c r="L324"/>
    </row>
    <row r="325" spans="1:12">
      <c r="A325"/>
      <c r="B325"/>
      <c r="C325"/>
      <c r="D325"/>
      <c r="E325"/>
      <c r="F325"/>
      <c r="G325"/>
      <c r="H325"/>
      <c r="I325"/>
      <c r="J325"/>
      <c r="K325"/>
      <c r="L325"/>
    </row>
    <row r="326" spans="1:12">
      <c r="A326"/>
      <c r="B326"/>
      <c r="C326"/>
      <c r="D326"/>
      <c r="E326"/>
      <c r="F326"/>
      <c r="G326"/>
      <c r="H326"/>
      <c r="I326"/>
      <c r="J326"/>
      <c r="K326"/>
      <c r="L326"/>
    </row>
    <row r="327" spans="1:12">
      <c r="A327"/>
      <c r="B327"/>
      <c r="C327"/>
      <c r="D327"/>
      <c r="E327"/>
      <c r="F327"/>
      <c r="G327"/>
      <c r="H327"/>
      <c r="I327"/>
      <c r="J327"/>
      <c r="K327"/>
      <c r="L327"/>
    </row>
    <row r="328" spans="1:12">
      <c r="A328"/>
      <c r="B328"/>
      <c r="C328"/>
      <c r="D328"/>
      <c r="E328"/>
      <c r="F328"/>
      <c r="G328"/>
      <c r="H328"/>
      <c r="I328"/>
      <c r="J328"/>
      <c r="K328"/>
      <c r="L328"/>
    </row>
    <row r="329" spans="1:12">
      <c r="A329"/>
      <c r="B329"/>
      <c r="C329"/>
      <c r="D329"/>
      <c r="E329"/>
      <c r="F329"/>
      <c r="G329"/>
      <c r="H329"/>
      <c r="I329"/>
      <c r="J329"/>
      <c r="K329"/>
      <c r="L329"/>
    </row>
    <row r="330" spans="1:12">
      <c r="A330"/>
      <c r="B330"/>
      <c r="C330"/>
      <c r="D330"/>
      <c r="E330"/>
      <c r="F330"/>
      <c r="G330"/>
      <c r="H330"/>
      <c r="I330"/>
      <c r="J330"/>
      <c r="K330"/>
      <c r="L330"/>
    </row>
    <row r="331" spans="1:12">
      <c r="A331"/>
      <c r="B331"/>
      <c r="C331"/>
      <c r="D331"/>
      <c r="E331"/>
      <c r="F331"/>
      <c r="G331"/>
      <c r="H331"/>
      <c r="I331"/>
      <c r="J331"/>
      <c r="K331"/>
      <c r="L331"/>
    </row>
    <row r="332" spans="1:12">
      <c r="A332"/>
      <c r="B332"/>
      <c r="C332"/>
      <c r="D332"/>
      <c r="E332"/>
      <c r="F332"/>
      <c r="G332"/>
      <c r="H332"/>
      <c r="I332"/>
      <c r="J332"/>
      <c r="K332"/>
      <c r="L332"/>
    </row>
    <row r="333" spans="1:12">
      <c r="A333"/>
      <c r="B333"/>
      <c r="C333"/>
      <c r="D333"/>
      <c r="E333"/>
      <c r="F333"/>
      <c r="G333"/>
      <c r="H333"/>
      <c r="I333"/>
      <c r="J333"/>
      <c r="K333"/>
      <c r="L333"/>
    </row>
    <row r="334" spans="1:12">
      <c r="A334"/>
      <c r="B334"/>
      <c r="C334"/>
      <c r="D334"/>
      <c r="E334"/>
      <c r="F334"/>
      <c r="G334"/>
      <c r="H334"/>
      <c r="I334"/>
      <c r="J334"/>
      <c r="K334"/>
      <c r="L334"/>
    </row>
    <row r="335" spans="1:12">
      <c r="A335"/>
      <c r="B335"/>
      <c r="C335"/>
      <c r="D335"/>
      <c r="E335"/>
      <c r="F335"/>
      <c r="G335"/>
      <c r="H335"/>
      <c r="I335"/>
      <c r="J335"/>
      <c r="K335"/>
      <c r="L335"/>
    </row>
    <row r="336" spans="1:12">
      <c r="A336"/>
      <c r="B336"/>
      <c r="C336"/>
      <c r="D336"/>
      <c r="E336"/>
      <c r="F336"/>
      <c r="G336"/>
      <c r="H336"/>
      <c r="I336"/>
      <c r="J336"/>
      <c r="K336"/>
      <c r="L336"/>
    </row>
    <row r="337" spans="1:12">
      <c r="A337"/>
      <c r="B337"/>
      <c r="C337"/>
      <c r="D337"/>
      <c r="E337"/>
      <c r="F337"/>
      <c r="G337"/>
      <c r="H337"/>
      <c r="I337"/>
      <c r="J337"/>
      <c r="K337"/>
      <c r="L337"/>
    </row>
    <row r="338" spans="1:12">
      <c r="A338"/>
      <c r="B338"/>
      <c r="C338"/>
      <c r="D338"/>
      <c r="E338"/>
      <c r="F338"/>
      <c r="G338"/>
      <c r="H338"/>
      <c r="I338"/>
      <c r="J338"/>
      <c r="K338"/>
      <c r="L338"/>
    </row>
    <row r="339" spans="1:12">
      <c r="A339"/>
      <c r="B339"/>
      <c r="C339"/>
      <c r="D339"/>
      <c r="E339"/>
      <c r="F339"/>
      <c r="G339"/>
      <c r="H339"/>
      <c r="I339"/>
      <c r="J339"/>
      <c r="K339"/>
      <c r="L339"/>
    </row>
    <row r="340" spans="1:12">
      <c r="A340"/>
      <c r="B340"/>
      <c r="C340"/>
      <c r="D340"/>
      <c r="E340"/>
      <c r="F340"/>
      <c r="G340"/>
      <c r="H340"/>
      <c r="I340"/>
      <c r="J340"/>
      <c r="K340"/>
      <c r="L340"/>
    </row>
    <row r="341" spans="1:12">
      <c r="A341"/>
      <c r="B341"/>
      <c r="C341"/>
      <c r="D341"/>
      <c r="E341"/>
      <c r="F341"/>
      <c r="G341"/>
      <c r="H341"/>
      <c r="I341"/>
      <c r="J341"/>
      <c r="K341"/>
      <c r="L341"/>
    </row>
    <row r="342" spans="1:12">
      <c r="A342"/>
      <c r="B342"/>
      <c r="C342"/>
      <c r="D342"/>
      <c r="E342"/>
      <c r="F342"/>
      <c r="G342"/>
      <c r="H342"/>
      <c r="I342"/>
      <c r="J342"/>
      <c r="K342"/>
      <c r="L342"/>
    </row>
    <row r="343" spans="1:12">
      <c r="A343"/>
      <c r="B343"/>
      <c r="C343"/>
      <c r="D343"/>
      <c r="E343"/>
      <c r="F343"/>
      <c r="G343"/>
      <c r="H343"/>
      <c r="I343"/>
      <c r="J343"/>
      <c r="K343"/>
      <c r="L343"/>
    </row>
    <row r="344" spans="1:12">
      <c r="A344"/>
      <c r="B344"/>
      <c r="C344"/>
      <c r="D344"/>
      <c r="E344"/>
      <c r="F344"/>
      <c r="G344"/>
      <c r="H344"/>
      <c r="I344"/>
      <c r="J344"/>
      <c r="K344"/>
      <c r="L344"/>
    </row>
    <row r="345" spans="1:12">
      <c r="A345"/>
      <c r="B345"/>
      <c r="C345"/>
      <c r="D345"/>
      <c r="E345"/>
      <c r="F345"/>
      <c r="G345"/>
      <c r="H345"/>
      <c r="I345"/>
      <c r="J345"/>
      <c r="K345"/>
      <c r="L345"/>
    </row>
    <row r="346" spans="1:12">
      <c r="A346"/>
      <c r="B346"/>
      <c r="C346"/>
      <c r="D346"/>
      <c r="E346"/>
      <c r="F346"/>
      <c r="G346"/>
      <c r="H346"/>
      <c r="I346"/>
      <c r="J346"/>
      <c r="K346"/>
      <c r="L346"/>
    </row>
    <row r="347" spans="1:12">
      <c r="A347"/>
      <c r="B347"/>
      <c r="C347"/>
      <c r="D347"/>
      <c r="E347"/>
      <c r="F347"/>
      <c r="G347"/>
      <c r="H347"/>
      <c r="I347"/>
      <c r="J347"/>
      <c r="K347"/>
      <c r="L347"/>
    </row>
    <row r="348" spans="1:12">
      <c r="A348"/>
      <c r="B348"/>
      <c r="C348"/>
      <c r="D348"/>
      <c r="E348"/>
      <c r="F348"/>
      <c r="G348"/>
      <c r="H348"/>
      <c r="I348"/>
      <c r="J348"/>
      <c r="K348"/>
      <c r="L348"/>
    </row>
    <row r="349" spans="1:12">
      <c r="A349"/>
      <c r="B349"/>
      <c r="C349"/>
      <c r="D349"/>
      <c r="E349"/>
      <c r="F349"/>
      <c r="G349"/>
      <c r="H349"/>
      <c r="I349"/>
      <c r="J349"/>
      <c r="K349"/>
      <c r="L349"/>
    </row>
    <row r="350" spans="1:12">
      <c r="A350"/>
      <c r="B350"/>
      <c r="C350"/>
      <c r="D350"/>
      <c r="E350"/>
      <c r="F350"/>
      <c r="G350"/>
      <c r="H350"/>
      <c r="I350"/>
      <c r="J350"/>
      <c r="K350"/>
      <c r="L350"/>
    </row>
    <row r="351" spans="1:12">
      <c r="A351"/>
      <c r="B351"/>
      <c r="C351"/>
      <c r="D351"/>
      <c r="E351"/>
      <c r="F351"/>
      <c r="G351"/>
      <c r="H351"/>
      <c r="I351"/>
      <c r="J351"/>
      <c r="K351"/>
      <c r="L351"/>
    </row>
    <row r="352" spans="1:12">
      <c r="A352"/>
      <c r="B352"/>
      <c r="C352"/>
      <c r="D352"/>
      <c r="E352"/>
      <c r="F352"/>
      <c r="G352"/>
      <c r="H352"/>
      <c r="I352"/>
      <c r="J352"/>
      <c r="K352"/>
      <c r="L352"/>
    </row>
    <row r="353" spans="1:12">
      <c r="A353"/>
      <c r="B353"/>
      <c r="C353"/>
      <c r="D353"/>
      <c r="E353"/>
      <c r="F353"/>
      <c r="G353"/>
      <c r="H353"/>
      <c r="I353"/>
      <c r="J353"/>
      <c r="K353"/>
      <c r="L353"/>
    </row>
    <row r="354" spans="1:12">
      <c r="A354"/>
      <c r="B354"/>
      <c r="C354"/>
      <c r="D354"/>
      <c r="E354"/>
      <c r="F354"/>
      <c r="G354"/>
      <c r="H354"/>
      <c r="I354"/>
      <c r="J354"/>
      <c r="K354"/>
      <c r="L354"/>
    </row>
    <row r="355" spans="1:12">
      <c r="A355"/>
      <c r="B355"/>
      <c r="C355"/>
      <c r="D355"/>
      <c r="E355"/>
      <c r="F355"/>
      <c r="G355"/>
      <c r="H355"/>
      <c r="I355"/>
      <c r="J355"/>
      <c r="K355"/>
      <c r="L355"/>
    </row>
    <row r="356" spans="1:12">
      <c r="A356"/>
      <c r="B356"/>
      <c r="C356"/>
      <c r="D356"/>
      <c r="E356"/>
      <c r="F356"/>
      <c r="G356"/>
      <c r="H356"/>
      <c r="I356"/>
      <c r="J356"/>
      <c r="K356"/>
      <c r="L356"/>
    </row>
    <row r="357" spans="1:12">
      <c r="A357"/>
      <c r="B357"/>
      <c r="C357"/>
      <c r="D357"/>
      <c r="E357"/>
      <c r="F357"/>
      <c r="G357"/>
      <c r="H357"/>
      <c r="I357"/>
      <c r="J357"/>
      <c r="K357"/>
      <c r="L357"/>
    </row>
    <row r="358" spans="1:12">
      <c r="A358"/>
      <c r="B358"/>
      <c r="C358"/>
      <c r="D358"/>
      <c r="E358"/>
      <c r="F358"/>
      <c r="G358"/>
      <c r="H358"/>
      <c r="I358"/>
      <c r="J358"/>
      <c r="K358"/>
      <c r="L358"/>
    </row>
    <row r="359" spans="1:12">
      <c r="A359"/>
      <c r="B359"/>
      <c r="C359"/>
      <c r="D359"/>
      <c r="E359"/>
      <c r="F359"/>
      <c r="G359"/>
      <c r="H359"/>
      <c r="I359"/>
      <c r="J359"/>
      <c r="K359"/>
      <c r="L359"/>
    </row>
    <row r="360" spans="1:12">
      <c r="A360"/>
      <c r="B360"/>
      <c r="C360"/>
      <c r="D360"/>
      <c r="E360"/>
      <c r="F360"/>
      <c r="G360"/>
      <c r="H360"/>
      <c r="I360"/>
      <c r="J360"/>
      <c r="K360"/>
      <c r="L360"/>
    </row>
    <row r="361" spans="1:12">
      <c r="A361"/>
      <c r="B361"/>
      <c r="C361"/>
      <c r="D361"/>
      <c r="E361"/>
      <c r="F361"/>
      <c r="G361"/>
      <c r="H361"/>
      <c r="I361"/>
      <c r="J361"/>
      <c r="K361"/>
      <c r="L361"/>
    </row>
    <row r="362" spans="1:12">
      <c r="A362"/>
      <c r="B362"/>
      <c r="C362"/>
      <c r="D362"/>
      <c r="E362"/>
      <c r="F362"/>
      <c r="G362"/>
      <c r="H362"/>
      <c r="I362"/>
      <c r="J362"/>
      <c r="K362"/>
      <c r="L362"/>
    </row>
    <row r="363" spans="1:12">
      <c r="A363"/>
      <c r="B363"/>
      <c r="C363"/>
      <c r="D363"/>
      <c r="E363"/>
      <c r="F363"/>
      <c r="G363"/>
      <c r="H363"/>
      <c r="I363"/>
      <c r="J363"/>
      <c r="K363"/>
      <c r="L363"/>
    </row>
    <row r="364" spans="1:12">
      <c r="A364"/>
      <c r="B364"/>
      <c r="C364"/>
      <c r="D364"/>
      <c r="E364"/>
      <c r="F364"/>
      <c r="G364"/>
      <c r="H364"/>
      <c r="I364"/>
      <c r="J364"/>
      <c r="K364"/>
      <c r="L364"/>
    </row>
    <row r="365" spans="1:12">
      <c r="A365"/>
      <c r="B365"/>
      <c r="C365"/>
      <c r="D365"/>
      <c r="E365"/>
      <c r="F365"/>
      <c r="G365"/>
      <c r="H365"/>
      <c r="I365"/>
      <c r="J365"/>
      <c r="K365"/>
      <c r="L365"/>
    </row>
    <row r="366" spans="1:12">
      <c r="A366"/>
      <c r="B366"/>
      <c r="C366"/>
      <c r="D366"/>
      <c r="E366"/>
      <c r="F366"/>
      <c r="G366"/>
      <c r="H366"/>
      <c r="I366"/>
      <c r="J366"/>
      <c r="K366"/>
      <c r="L366"/>
    </row>
    <row r="367" spans="1:12">
      <c r="A367"/>
      <c r="B367"/>
      <c r="C367"/>
      <c r="D367"/>
      <c r="E367"/>
      <c r="F367"/>
      <c r="G367"/>
      <c r="H367"/>
      <c r="I367"/>
      <c r="J367"/>
      <c r="K367"/>
      <c r="L367"/>
    </row>
    <row r="368" spans="1:12">
      <c r="A368"/>
      <c r="B368"/>
      <c r="C368"/>
      <c r="D368"/>
      <c r="E368"/>
      <c r="F368"/>
      <c r="G368"/>
      <c r="H368"/>
      <c r="I368"/>
      <c r="J368"/>
      <c r="K368"/>
      <c r="L368"/>
    </row>
    <row r="369" spans="1:12">
      <c r="A369"/>
      <c r="B369"/>
      <c r="C369"/>
      <c r="D369"/>
      <c r="E369"/>
      <c r="F369"/>
      <c r="G369"/>
      <c r="H369"/>
      <c r="I369"/>
      <c r="J369"/>
      <c r="K369"/>
      <c r="L369"/>
    </row>
    <row r="370" spans="1:12">
      <c r="A370"/>
      <c r="B370"/>
      <c r="C370"/>
      <c r="D370"/>
      <c r="E370"/>
      <c r="F370"/>
      <c r="G370"/>
      <c r="H370"/>
      <c r="I370"/>
      <c r="J370"/>
      <c r="K370"/>
      <c r="L370"/>
    </row>
    <row r="371" spans="1:12">
      <c r="A371"/>
      <c r="B371"/>
      <c r="C371"/>
      <c r="D371"/>
      <c r="E371"/>
      <c r="F371"/>
      <c r="G371"/>
      <c r="H371"/>
      <c r="I371"/>
      <c r="J371"/>
      <c r="K371"/>
      <c r="L371"/>
    </row>
    <row r="372" spans="1:12">
      <c r="A372"/>
      <c r="B372"/>
      <c r="C372"/>
      <c r="D372"/>
      <c r="E372"/>
      <c r="F372"/>
      <c r="G372"/>
      <c r="H372"/>
      <c r="I372"/>
      <c r="J372"/>
      <c r="K372"/>
      <c r="L372"/>
    </row>
    <row r="373" spans="1:12">
      <c r="A373"/>
      <c r="B373"/>
      <c r="C373"/>
      <c r="D373"/>
      <c r="E373"/>
      <c r="F373"/>
      <c r="G373"/>
      <c r="H373"/>
      <c r="I373"/>
      <c r="J373"/>
      <c r="K373"/>
      <c r="L373"/>
    </row>
    <row r="374" spans="1:12">
      <c r="A374"/>
      <c r="B374"/>
      <c r="C374"/>
      <c r="D374"/>
      <c r="E374"/>
      <c r="F374"/>
      <c r="G374"/>
      <c r="H374"/>
      <c r="I374"/>
      <c r="J374"/>
      <c r="K374"/>
      <c r="L374"/>
    </row>
    <row r="375" spans="1:12">
      <c r="A375"/>
      <c r="B375"/>
      <c r="C375"/>
      <c r="D375"/>
      <c r="E375"/>
      <c r="F375"/>
      <c r="G375"/>
      <c r="H375"/>
      <c r="I375"/>
      <c r="J375"/>
      <c r="K375"/>
      <c r="L375"/>
    </row>
    <row r="376" spans="1:12">
      <c r="A376"/>
      <c r="B376"/>
      <c r="C376"/>
      <c r="D376"/>
      <c r="E376"/>
      <c r="F376"/>
      <c r="G376"/>
      <c r="H376"/>
      <c r="I376"/>
      <c r="J376"/>
      <c r="K376"/>
      <c r="L376"/>
    </row>
    <row r="377" spans="1:12">
      <c r="A377"/>
      <c r="B377"/>
      <c r="C377"/>
      <c r="D377"/>
      <c r="E377"/>
      <c r="F377"/>
      <c r="G377"/>
      <c r="H377"/>
      <c r="I377"/>
      <c r="J377"/>
      <c r="K377"/>
      <c r="L377"/>
    </row>
    <row r="378" spans="1:12">
      <c r="A378"/>
      <c r="B378"/>
      <c r="C378"/>
      <c r="D378"/>
      <c r="E378"/>
      <c r="F378"/>
      <c r="G378"/>
      <c r="H378"/>
      <c r="I378"/>
      <c r="J378"/>
      <c r="K378"/>
      <c r="L378"/>
    </row>
    <row r="379" spans="1:12">
      <c r="A379"/>
      <c r="B379"/>
      <c r="C379"/>
      <c r="D379"/>
      <c r="E379"/>
      <c r="F379"/>
      <c r="G379"/>
      <c r="H379"/>
      <c r="I379"/>
      <c r="J379"/>
      <c r="K379"/>
      <c r="L379"/>
    </row>
    <row r="380" spans="1:12">
      <c r="A380"/>
      <c r="B380"/>
      <c r="C380"/>
      <c r="D380"/>
      <c r="E380"/>
      <c r="F380"/>
      <c r="G380"/>
      <c r="H380"/>
      <c r="I380"/>
      <c r="J380"/>
      <c r="K380"/>
      <c r="L380"/>
    </row>
    <row r="381" spans="1:12">
      <c r="A381"/>
      <c r="B381"/>
      <c r="C381"/>
      <c r="D381"/>
      <c r="E381"/>
      <c r="F381"/>
      <c r="G381"/>
      <c r="H381"/>
      <c r="I381"/>
      <c r="J381"/>
      <c r="K381"/>
      <c r="L381"/>
    </row>
    <row r="382" spans="1:12">
      <c r="A382"/>
      <c r="B382"/>
      <c r="C382"/>
      <c r="D382"/>
      <c r="E382"/>
      <c r="F382"/>
      <c r="G382"/>
      <c r="H382"/>
      <c r="I382"/>
      <c r="J382"/>
      <c r="K382"/>
      <c r="L382"/>
    </row>
    <row r="383" spans="1:12">
      <c r="A383"/>
      <c r="B383"/>
      <c r="C383"/>
      <c r="D383"/>
      <c r="E383"/>
      <c r="F383"/>
      <c r="G383"/>
      <c r="H383"/>
      <c r="I383"/>
      <c r="J383"/>
      <c r="K383"/>
      <c r="L383"/>
    </row>
    <row r="384" spans="1:12">
      <c r="A384"/>
      <c r="B384"/>
      <c r="C384"/>
      <c r="D384"/>
      <c r="E384"/>
      <c r="F384"/>
      <c r="G384"/>
      <c r="H384"/>
      <c r="I384"/>
      <c r="J384"/>
      <c r="K384"/>
      <c r="L384"/>
    </row>
    <row r="385" spans="1:12">
      <c r="A385"/>
      <c r="B385"/>
      <c r="C385"/>
      <c r="D385"/>
      <c r="E385"/>
      <c r="F385"/>
      <c r="G385"/>
      <c r="H385"/>
      <c r="I385"/>
      <c r="J385"/>
      <c r="K385"/>
      <c r="L385"/>
    </row>
    <row r="386" spans="1:12">
      <c r="A386"/>
      <c r="B386"/>
      <c r="C386"/>
      <c r="D386"/>
      <c r="E386"/>
      <c r="F386"/>
      <c r="G386"/>
      <c r="H386"/>
      <c r="I386"/>
      <c r="J386"/>
      <c r="K386"/>
      <c r="L386"/>
    </row>
    <row r="387" spans="1:12">
      <c r="A387"/>
      <c r="B387"/>
      <c r="C387"/>
      <c r="D387"/>
      <c r="E387"/>
      <c r="F387"/>
      <c r="G387"/>
      <c r="H387"/>
      <c r="I387"/>
      <c r="J387"/>
      <c r="K387"/>
      <c r="L387"/>
    </row>
    <row r="388" spans="1:12">
      <c r="A388"/>
      <c r="B388"/>
      <c r="C388"/>
      <c r="D388"/>
      <c r="E388"/>
      <c r="F388"/>
      <c r="G388"/>
      <c r="H388"/>
      <c r="I388"/>
      <c r="J388"/>
      <c r="K388"/>
      <c r="L388"/>
    </row>
    <row r="389" spans="1:12">
      <c r="A389"/>
      <c r="B389"/>
      <c r="C389"/>
      <c r="D389"/>
      <c r="E389"/>
      <c r="F389"/>
      <c r="G389"/>
      <c r="H389"/>
      <c r="I389"/>
      <c r="J389"/>
      <c r="K389"/>
      <c r="L389"/>
    </row>
    <row r="390" spans="1:12">
      <c r="A390"/>
      <c r="B390"/>
      <c r="C390"/>
      <c r="D390"/>
      <c r="E390"/>
      <c r="F390"/>
      <c r="G390"/>
      <c r="H390"/>
      <c r="I390"/>
      <c r="J390"/>
      <c r="K390"/>
      <c r="L390"/>
    </row>
    <row r="391" spans="1:12">
      <c r="A391"/>
      <c r="B391"/>
      <c r="C391"/>
      <c r="D391"/>
      <c r="E391"/>
      <c r="F391"/>
      <c r="G391"/>
      <c r="H391"/>
      <c r="I391"/>
      <c r="J391"/>
      <c r="K391"/>
      <c r="L391"/>
    </row>
    <row r="392" spans="1:12">
      <c r="A392"/>
      <c r="B392"/>
      <c r="C392"/>
      <c r="D392"/>
      <c r="E392"/>
      <c r="F392"/>
      <c r="G392"/>
      <c r="H392"/>
      <c r="I392"/>
      <c r="J392"/>
      <c r="K392"/>
      <c r="L392"/>
    </row>
    <row r="393" spans="1:12">
      <c r="A393"/>
      <c r="B393"/>
      <c r="C393"/>
      <c r="D393"/>
      <c r="E393"/>
      <c r="F393"/>
      <c r="G393"/>
      <c r="H393"/>
      <c r="I393"/>
      <c r="J393"/>
      <c r="K393"/>
      <c r="L393"/>
    </row>
    <row r="394" spans="1:12">
      <c r="A394"/>
      <c r="B394"/>
      <c r="C394"/>
      <c r="D394"/>
      <c r="E394"/>
      <c r="F394"/>
      <c r="G394"/>
      <c r="H394"/>
      <c r="I394"/>
      <c r="J394"/>
      <c r="K394"/>
      <c r="L394"/>
    </row>
    <row r="395" spans="1:12">
      <c r="A395"/>
      <c r="B395"/>
      <c r="C395"/>
      <c r="D395"/>
      <c r="E395"/>
      <c r="F395"/>
      <c r="G395"/>
      <c r="H395"/>
      <c r="I395"/>
      <c r="J395"/>
      <c r="K395"/>
      <c r="L395"/>
    </row>
    <row r="396" spans="1:12">
      <c r="A396"/>
      <c r="B396"/>
      <c r="C396"/>
      <c r="D396"/>
      <c r="E396"/>
      <c r="F396"/>
      <c r="G396"/>
      <c r="H396"/>
      <c r="I396"/>
      <c r="J396"/>
      <c r="K396"/>
      <c r="L396"/>
    </row>
    <row r="397" spans="1:12">
      <c r="A397"/>
      <c r="B397"/>
      <c r="C397"/>
      <c r="D397"/>
      <c r="E397"/>
      <c r="F397"/>
      <c r="G397"/>
      <c r="H397"/>
      <c r="I397"/>
      <c r="J397"/>
      <c r="K397"/>
      <c r="L397"/>
    </row>
    <row r="398" spans="1:12">
      <c r="A398"/>
      <c r="B398"/>
      <c r="C398"/>
      <c r="D398"/>
      <c r="E398"/>
      <c r="F398"/>
      <c r="G398"/>
      <c r="H398"/>
      <c r="I398"/>
      <c r="J398"/>
      <c r="K398"/>
      <c r="L398"/>
    </row>
  </sheetData>
  <mergeCells count="25">
    <mergeCell ref="C17:E17"/>
    <mergeCell ref="A3:L3"/>
    <mergeCell ref="A5:L5"/>
    <mergeCell ref="B7:E7"/>
    <mergeCell ref="B8:E8"/>
    <mergeCell ref="B9:E9"/>
    <mergeCell ref="B11:E11"/>
    <mergeCell ref="F11:G11"/>
    <mergeCell ref="B12:E12"/>
    <mergeCell ref="C13:E13"/>
    <mergeCell ref="C14:E14"/>
    <mergeCell ref="C15:E15"/>
    <mergeCell ref="C16:E16"/>
    <mergeCell ref="G52:I52"/>
    <mergeCell ref="B88:D88"/>
    <mergeCell ref="B89:C89"/>
    <mergeCell ref="B90:C90"/>
    <mergeCell ref="C18:E18"/>
    <mergeCell ref="B20:F20"/>
    <mergeCell ref="B27:C27"/>
    <mergeCell ref="D27:D28"/>
    <mergeCell ref="E27:E28"/>
    <mergeCell ref="B41:C41"/>
    <mergeCell ref="B42:C42"/>
    <mergeCell ref="B43:C43"/>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1FA4-F774-4434-B67C-8785745311E1}">
  <dimension ref="A1:AC173"/>
  <sheetViews>
    <sheetView zoomScaleNormal="100" workbookViewId="0"/>
  </sheetViews>
  <sheetFormatPr defaultColWidth="9.109375" defaultRowHeight="15.6"/>
  <cols>
    <col min="1" max="1" width="11.6640625" style="1" customWidth="1"/>
    <col min="2" max="11" width="13.6640625" style="1" customWidth="1"/>
    <col min="12" max="12" width="10.6640625" style="1" customWidth="1"/>
    <col min="13"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26" ht="15.75" customHeight="1">
      <c r="A1" s="23" t="s">
        <v>669</v>
      </c>
      <c r="B1" s="22"/>
      <c r="C1" s="5" t="s">
        <v>38</v>
      </c>
      <c r="D1" s="22"/>
      <c r="E1" s="22"/>
      <c r="F1" s="22"/>
      <c r="G1" s="22"/>
      <c r="H1" s="22"/>
      <c r="I1" s="22"/>
      <c r="J1" s="22"/>
      <c r="K1" s="2"/>
      <c r="L1" s="2"/>
      <c r="M1" s="2"/>
      <c r="N1"/>
      <c r="O1"/>
      <c r="P1"/>
      <c r="Q1"/>
      <c r="R1"/>
      <c r="S1"/>
      <c r="T1"/>
      <c r="U1"/>
      <c r="V1"/>
      <c r="W1"/>
      <c r="X1"/>
      <c r="Y1"/>
      <c r="Z1"/>
    </row>
    <row r="2" spans="1:26" ht="15.75" customHeight="1">
      <c r="A2" s="23"/>
      <c r="B2" s="22"/>
      <c r="C2" s="160" t="s">
        <v>193</v>
      </c>
      <c r="D2" s="166"/>
      <c r="E2" s="166"/>
      <c r="F2" s="166"/>
      <c r="G2" s="166"/>
      <c r="H2" s="166"/>
      <c r="I2" s="166"/>
      <c r="J2" s="166"/>
      <c r="K2" s="166"/>
      <c r="L2" s="165"/>
      <c r="M2" s="165"/>
      <c r="N2"/>
      <c r="O2"/>
      <c r="P2"/>
      <c r="Q2"/>
      <c r="R2"/>
      <c r="S2"/>
      <c r="T2"/>
      <c r="U2"/>
      <c r="V2"/>
      <c r="W2"/>
      <c r="X2"/>
      <c r="Y2"/>
      <c r="Z2"/>
    </row>
    <row r="3" spans="1:26" ht="15.75" customHeight="1">
      <c r="A3" s="21"/>
      <c r="B3" s="3"/>
      <c r="C3" s="3"/>
      <c r="D3" s="3"/>
      <c r="E3" s="3"/>
      <c r="F3" s="3"/>
      <c r="G3" s="3"/>
      <c r="H3" s="19"/>
      <c r="I3" s="19"/>
      <c r="J3" s="4"/>
      <c r="K3" s="4"/>
      <c r="L3" s="4"/>
      <c r="M3" s="4"/>
      <c r="N3"/>
      <c r="O3"/>
      <c r="P3"/>
      <c r="Q3"/>
      <c r="R3"/>
      <c r="S3"/>
      <c r="T3"/>
      <c r="U3"/>
      <c r="V3"/>
      <c r="W3"/>
      <c r="X3"/>
      <c r="Y3"/>
      <c r="Z3"/>
    </row>
    <row r="4" spans="1:26" ht="31.5" customHeight="1">
      <c r="A4" s="1733" t="s">
        <v>997</v>
      </c>
      <c r="B4" s="1733"/>
      <c r="C4" s="1733"/>
      <c r="D4" s="1733"/>
      <c r="E4" s="1733"/>
      <c r="F4" s="1733"/>
      <c r="G4" s="1733"/>
      <c r="H4" s="1733"/>
      <c r="I4" s="1733"/>
      <c r="J4" s="1733"/>
      <c r="K4" s="1733"/>
      <c r="L4" s="1733"/>
      <c r="M4" s="4"/>
      <c r="W4"/>
      <c r="X4"/>
      <c r="Y4"/>
      <c r="Z4"/>
    </row>
    <row r="5" spans="1:26">
      <c r="A5" s="3"/>
      <c r="B5" s="161"/>
      <c r="C5" s="2"/>
      <c r="D5" s="2"/>
      <c r="E5" s="2"/>
      <c r="F5" s="2"/>
      <c r="G5" s="2"/>
      <c r="H5" s="2"/>
      <c r="I5" s="2"/>
      <c r="J5" s="2"/>
      <c r="K5" s="2"/>
      <c r="L5" s="2"/>
      <c r="M5" s="4"/>
      <c r="N5"/>
      <c r="O5"/>
      <c r="P5"/>
      <c r="Q5"/>
      <c r="R5"/>
      <c r="S5"/>
      <c r="T5"/>
      <c r="U5"/>
      <c r="V5"/>
      <c r="W5"/>
      <c r="X5"/>
      <c r="Y5"/>
      <c r="Z5"/>
    </row>
    <row r="6" spans="1:26">
      <c r="A6" s="3" t="s">
        <v>80</v>
      </c>
      <c r="B6" s="3" t="s">
        <v>996</v>
      </c>
      <c r="C6" s="3"/>
      <c r="D6" s="3"/>
      <c r="E6" s="3"/>
      <c r="F6" s="3"/>
      <c r="G6" s="3"/>
      <c r="H6" s="3"/>
      <c r="I6" s="2"/>
      <c r="J6" s="2"/>
      <c r="K6" s="2"/>
      <c r="L6" s="2"/>
      <c r="M6" s="4"/>
      <c r="N6"/>
      <c r="O6"/>
      <c r="P6"/>
      <c r="Q6"/>
      <c r="R6"/>
      <c r="S6"/>
      <c r="T6"/>
      <c r="U6"/>
      <c r="V6"/>
      <c r="W6"/>
      <c r="X6"/>
      <c r="Y6"/>
      <c r="Z6"/>
    </row>
    <row r="7" spans="1:26" ht="16.2">
      <c r="A7" s="3"/>
      <c r="B7" s="160" t="s">
        <v>185</v>
      </c>
      <c r="C7" s="159"/>
      <c r="D7" s="159"/>
      <c r="E7" s="159"/>
      <c r="F7" s="158"/>
      <c r="G7" s="158"/>
      <c r="H7" s="158"/>
      <c r="I7" s="158"/>
      <c r="J7" s="158"/>
      <c r="K7" s="158"/>
      <c r="L7" s="165"/>
      <c r="M7" s="4"/>
      <c r="N7"/>
      <c r="O7"/>
      <c r="P7"/>
      <c r="Q7"/>
      <c r="R7"/>
      <c r="S7"/>
      <c r="T7"/>
      <c r="U7"/>
      <c r="V7"/>
      <c r="W7"/>
      <c r="X7"/>
      <c r="Y7"/>
      <c r="Z7"/>
    </row>
    <row r="8" spans="1:26">
      <c r="A8" s="3"/>
      <c r="B8" s="44"/>
      <c r="C8" s="44"/>
      <c r="D8" s="44"/>
      <c r="E8" s="44"/>
      <c r="F8" s="44"/>
      <c r="G8" s="44"/>
      <c r="H8" s="44"/>
      <c r="I8" s="44"/>
      <c r="J8" s="44"/>
      <c r="K8" s="44"/>
      <c r="L8" s="44"/>
      <c r="M8" s="4"/>
      <c r="N8"/>
      <c r="O8"/>
      <c r="P8"/>
      <c r="Q8"/>
      <c r="R8"/>
      <c r="S8"/>
      <c r="T8"/>
      <c r="U8"/>
      <c r="V8"/>
      <c r="W8"/>
      <c r="X8"/>
      <c r="Y8"/>
      <c r="Z8"/>
    </row>
    <row r="9" spans="1:26">
      <c r="A9" s="3" t="s">
        <v>995</v>
      </c>
      <c r="B9" s="44"/>
      <c r="C9" s="44"/>
      <c r="D9" s="44"/>
      <c r="E9" s="44"/>
      <c r="F9" s="44"/>
      <c r="G9" s="44"/>
      <c r="H9" s="44"/>
      <c r="I9" s="44"/>
      <c r="J9" s="44"/>
      <c r="K9" s="44"/>
      <c r="L9" s="44"/>
      <c r="M9" s="4"/>
      <c r="N9"/>
      <c r="O9"/>
      <c r="P9"/>
      <c r="Q9"/>
      <c r="R9"/>
      <c r="S9"/>
      <c r="T9"/>
      <c r="U9"/>
      <c r="V9"/>
      <c r="W9"/>
      <c r="X9"/>
      <c r="Y9"/>
      <c r="Z9"/>
    </row>
    <row r="10" spans="1:26">
      <c r="A10" s="44"/>
      <c r="B10" s="44"/>
      <c r="C10" s="44"/>
      <c r="D10" s="44"/>
      <c r="E10" s="44"/>
      <c r="F10" s="44"/>
      <c r="G10" s="44"/>
      <c r="H10" s="44"/>
      <c r="I10" s="44"/>
      <c r="J10" s="44"/>
      <c r="K10" s="44"/>
      <c r="L10" s="44"/>
      <c r="M10" s="4"/>
      <c r="N10"/>
      <c r="O10"/>
      <c r="P10"/>
      <c r="Q10"/>
      <c r="R10"/>
      <c r="S10"/>
      <c r="T10"/>
      <c r="U10"/>
      <c r="V10"/>
      <c r="W10"/>
      <c r="X10"/>
      <c r="Y10"/>
      <c r="Z10"/>
    </row>
    <row r="11" spans="1:26">
      <c r="A11" s="3" t="s">
        <v>9</v>
      </c>
      <c r="B11" s="3" t="s">
        <v>994</v>
      </c>
      <c r="C11" s="3"/>
      <c r="D11" s="3"/>
      <c r="E11" s="3"/>
      <c r="F11" s="3"/>
      <c r="G11" s="3"/>
      <c r="H11" s="3"/>
      <c r="I11" s="2"/>
      <c r="J11" s="2"/>
      <c r="K11" s="2"/>
      <c r="L11" s="2"/>
      <c r="M11" s="4"/>
      <c r="N11"/>
      <c r="O11"/>
      <c r="P11"/>
      <c r="Q11"/>
      <c r="R11"/>
      <c r="S11"/>
      <c r="T11"/>
      <c r="U11"/>
      <c r="V11"/>
      <c r="W11"/>
      <c r="X11"/>
      <c r="Y11"/>
      <c r="Z11"/>
    </row>
    <row r="12" spans="1:26" ht="16.2">
      <c r="A12" s="3"/>
      <c r="B12" s="160" t="s">
        <v>185</v>
      </c>
      <c r="C12" s="159"/>
      <c r="D12" s="159"/>
      <c r="E12" s="159"/>
      <c r="F12" s="158"/>
      <c r="G12" s="158"/>
      <c r="H12" s="158"/>
      <c r="I12" s="158"/>
      <c r="J12" s="158"/>
      <c r="K12" s="158"/>
      <c r="L12" s="165"/>
      <c r="M12" s="4"/>
      <c r="N12"/>
      <c r="O12"/>
      <c r="P12"/>
      <c r="Q12"/>
      <c r="R12"/>
      <c r="S12"/>
      <c r="T12"/>
      <c r="U12"/>
      <c r="V12"/>
      <c r="W12"/>
      <c r="X12"/>
      <c r="Y12"/>
      <c r="Z12"/>
    </row>
    <row r="13" spans="1:26" ht="16.2">
      <c r="A13" s="3"/>
      <c r="B13" s="5"/>
      <c r="C13" s="3"/>
      <c r="D13" s="3"/>
      <c r="E13" s="3"/>
      <c r="F13" s="156"/>
      <c r="G13" s="156"/>
      <c r="H13" s="156"/>
      <c r="I13" s="156"/>
      <c r="J13" s="156"/>
      <c r="K13" s="156"/>
      <c r="L13" s="2"/>
      <c r="M13" s="4"/>
      <c r="N13"/>
      <c r="O13"/>
      <c r="P13"/>
      <c r="Q13"/>
      <c r="R13"/>
      <c r="S13"/>
      <c r="T13"/>
      <c r="U13"/>
      <c r="V13"/>
      <c r="W13"/>
      <c r="X13"/>
      <c r="Y13"/>
      <c r="Z13"/>
    </row>
    <row r="14" spans="1:26" ht="16.2">
      <c r="A14" s="3" t="s">
        <v>993</v>
      </c>
      <c r="B14" s="5"/>
      <c r="C14" s="3"/>
      <c r="D14" s="3"/>
      <c r="E14" s="3"/>
      <c r="F14" s="156"/>
      <c r="G14" s="156"/>
      <c r="H14" s="156"/>
      <c r="I14" s="156"/>
      <c r="J14" s="156"/>
      <c r="K14" s="156"/>
      <c r="L14" s="2"/>
      <c r="M14" s="4"/>
      <c r="N14"/>
      <c r="O14"/>
      <c r="P14"/>
      <c r="Q14"/>
      <c r="R14"/>
      <c r="S14"/>
      <c r="T14"/>
      <c r="U14"/>
      <c r="V14"/>
      <c r="W14"/>
      <c r="X14"/>
      <c r="Y14"/>
      <c r="Z14"/>
    </row>
    <row r="15" spans="1:26" ht="16.2">
      <c r="A15" s="3"/>
      <c r="B15" s="5"/>
      <c r="C15" s="3"/>
      <c r="D15" s="3"/>
      <c r="E15" s="3"/>
      <c r="F15" s="156"/>
      <c r="G15" s="156"/>
      <c r="H15" s="156"/>
      <c r="I15" s="156"/>
      <c r="J15" s="156"/>
      <c r="K15" s="156"/>
      <c r="L15" s="2"/>
      <c r="M15" s="4"/>
      <c r="N15"/>
      <c r="O15"/>
      <c r="P15"/>
      <c r="Q15"/>
      <c r="R15"/>
      <c r="S15"/>
      <c r="T15"/>
      <c r="U15"/>
      <c r="V15"/>
      <c r="W15"/>
      <c r="X15"/>
      <c r="Y15"/>
      <c r="Z15"/>
    </row>
    <row r="16" spans="1:26">
      <c r="A16" s="1671" t="s">
        <v>991</v>
      </c>
      <c r="B16" s="1814" t="s">
        <v>992</v>
      </c>
      <c r="C16" s="1815"/>
      <c r="D16" s="3"/>
      <c r="E16" s="3"/>
      <c r="F16" s="156"/>
      <c r="G16" s="156"/>
      <c r="H16" s="156"/>
      <c r="I16" s="156"/>
      <c r="J16" s="156"/>
      <c r="K16" s="156"/>
      <c r="L16" s="2"/>
      <c r="M16" s="4"/>
      <c r="N16"/>
      <c r="O16"/>
      <c r="P16"/>
      <c r="Q16"/>
      <c r="R16"/>
      <c r="S16"/>
      <c r="T16"/>
      <c r="U16"/>
      <c r="V16"/>
      <c r="W16"/>
      <c r="X16"/>
      <c r="Y16"/>
      <c r="Z16"/>
    </row>
    <row r="17" spans="1:26">
      <c r="A17" s="1671"/>
      <c r="B17" s="1816"/>
      <c r="C17" s="1817"/>
      <c r="D17" s="3"/>
      <c r="E17" s="3"/>
      <c r="F17" s="156"/>
      <c r="G17" s="156"/>
      <c r="H17" s="156"/>
      <c r="I17" s="156"/>
      <c r="J17" s="156"/>
      <c r="K17" s="156"/>
      <c r="L17" s="2"/>
      <c r="M17" s="4"/>
      <c r="N17"/>
      <c r="O17"/>
      <c r="P17"/>
      <c r="Q17"/>
      <c r="R17"/>
      <c r="S17"/>
      <c r="T17"/>
      <c r="U17"/>
      <c r="V17"/>
      <c r="W17"/>
      <c r="X17"/>
      <c r="Y17"/>
      <c r="Z17"/>
    </row>
    <row r="18" spans="1:26" ht="31.2">
      <c r="A18" s="1671"/>
      <c r="B18" s="134" t="s">
        <v>989</v>
      </c>
      <c r="C18" s="134" t="s">
        <v>816</v>
      </c>
      <c r="D18" s="3"/>
      <c r="E18" s="3"/>
      <c r="F18" s="156"/>
      <c r="G18" s="156"/>
      <c r="H18" s="156"/>
      <c r="I18" s="156"/>
      <c r="J18" s="156"/>
      <c r="K18" s="156"/>
      <c r="L18" s="2"/>
      <c r="M18" s="4"/>
      <c r="N18"/>
      <c r="O18"/>
      <c r="P18"/>
      <c r="Q18"/>
      <c r="R18"/>
      <c r="S18"/>
      <c r="T18"/>
      <c r="U18"/>
      <c r="V18"/>
      <c r="W18"/>
      <c r="X18"/>
      <c r="Y18"/>
      <c r="Z18"/>
    </row>
    <row r="19" spans="1:26">
      <c r="A19" s="772" t="s">
        <v>716</v>
      </c>
      <c r="B19" s="773">
        <v>0.22500000000000001</v>
      </c>
      <c r="C19" s="773">
        <v>0.3</v>
      </c>
      <c r="D19" s="3"/>
      <c r="E19" s="3"/>
      <c r="F19" s="156"/>
      <c r="G19" s="156"/>
      <c r="H19" s="156"/>
      <c r="I19" s="156"/>
      <c r="J19" s="156"/>
      <c r="K19" s="156"/>
      <c r="L19" s="2"/>
      <c r="M19" s="4"/>
      <c r="N19"/>
      <c r="O19"/>
      <c r="P19"/>
      <c r="Q19"/>
      <c r="R19"/>
      <c r="S19"/>
      <c r="T19"/>
      <c r="U19"/>
      <c r="V19"/>
      <c r="W19"/>
      <c r="X19"/>
      <c r="Y19"/>
      <c r="Z19"/>
    </row>
    <row r="20" spans="1:26">
      <c r="A20" s="772" t="s">
        <v>681</v>
      </c>
      <c r="B20" s="773">
        <v>0.4</v>
      </c>
      <c r="C20" s="773">
        <v>7.4999999999999997E-2</v>
      </c>
      <c r="D20" s="3"/>
      <c r="E20" s="3"/>
      <c r="F20" s="156"/>
      <c r="G20" s="156"/>
      <c r="H20" s="156"/>
      <c r="I20" s="156"/>
      <c r="J20" s="156"/>
      <c r="K20" s="156"/>
      <c r="L20" s="2"/>
      <c r="M20" s="4"/>
      <c r="N20"/>
      <c r="O20"/>
      <c r="P20"/>
      <c r="Q20"/>
      <c r="R20"/>
      <c r="S20"/>
      <c r="T20"/>
      <c r="U20"/>
      <c r="V20"/>
      <c r="W20"/>
      <c r="X20"/>
      <c r="Y20"/>
      <c r="Z20"/>
    </row>
    <row r="21" spans="1:26" ht="16.2">
      <c r="A21" s="3"/>
      <c r="B21" s="5"/>
      <c r="C21" s="3"/>
      <c r="D21" s="3"/>
      <c r="E21" s="3"/>
      <c r="F21" s="156"/>
      <c r="G21" s="156"/>
      <c r="H21" s="156"/>
      <c r="I21" s="156"/>
      <c r="J21" s="156"/>
      <c r="K21" s="156"/>
      <c r="L21" s="2"/>
      <c r="M21" s="4"/>
      <c r="N21"/>
      <c r="O21"/>
      <c r="P21"/>
      <c r="Q21"/>
      <c r="R21"/>
      <c r="S21"/>
      <c r="T21"/>
      <c r="U21"/>
      <c r="V21"/>
      <c r="W21"/>
      <c r="X21"/>
      <c r="Y21"/>
      <c r="Z21"/>
    </row>
    <row r="22" spans="1:26">
      <c r="A22" s="1671" t="s">
        <v>991</v>
      </c>
      <c r="B22" s="1736" t="s">
        <v>990</v>
      </c>
      <c r="C22" s="1736"/>
      <c r="D22" s="1736"/>
      <c r="E22" s="1736"/>
      <c r="F22" s="1736"/>
      <c r="G22" s="156"/>
      <c r="H22" s="156"/>
      <c r="I22" s="156"/>
      <c r="J22" s="156"/>
      <c r="K22" s="156"/>
      <c r="L22" s="2"/>
      <c r="M22" s="4"/>
      <c r="N22"/>
      <c r="O22"/>
      <c r="P22"/>
      <c r="Q22"/>
      <c r="R22"/>
      <c r="S22"/>
      <c r="T22"/>
      <c r="U22"/>
      <c r="V22"/>
      <c r="W22"/>
      <c r="X22"/>
      <c r="Y22"/>
      <c r="Z22"/>
    </row>
    <row r="23" spans="1:26">
      <c r="A23" s="1671"/>
      <c r="B23" s="1736" t="s">
        <v>851</v>
      </c>
      <c r="C23" s="1736"/>
      <c r="D23" s="1736" t="s">
        <v>850</v>
      </c>
      <c r="E23" s="1736"/>
      <c r="F23" s="1671" t="s">
        <v>849</v>
      </c>
      <c r="G23" s="156"/>
      <c r="H23" s="156"/>
      <c r="I23" s="156"/>
      <c r="J23" s="156"/>
      <c r="K23" s="156"/>
      <c r="L23" s="2"/>
      <c r="M23" s="4"/>
      <c r="N23"/>
      <c r="O23"/>
      <c r="P23"/>
      <c r="Q23"/>
      <c r="R23"/>
      <c r="S23"/>
      <c r="T23"/>
      <c r="U23"/>
      <c r="V23"/>
      <c r="W23"/>
      <c r="X23"/>
      <c r="Y23"/>
      <c r="Z23"/>
    </row>
    <row r="24" spans="1:26" ht="31.2">
      <c r="A24" s="1671"/>
      <c r="B24" s="134" t="s">
        <v>989</v>
      </c>
      <c r="C24" s="134" t="s">
        <v>816</v>
      </c>
      <c r="D24" s="134" t="s">
        <v>989</v>
      </c>
      <c r="E24" s="134" t="s">
        <v>816</v>
      </c>
      <c r="F24" s="1671"/>
      <c r="G24" s="156"/>
      <c r="H24" s="156"/>
      <c r="I24" s="156"/>
      <c r="J24" s="156"/>
      <c r="K24" s="156"/>
      <c r="L24" s="2"/>
      <c r="M24" s="4"/>
      <c r="N24"/>
      <c r="O24"/>
      <c r="P24"/>
      <c r="Q24"/>
      <c r="R24"/>
      <c r="S24"/>
      <c r="T24"/>
      <c r="U24"/>
      <c r="V24"/>
      <c r="W24"/>
      <c r="X24"/>
      <c r="Y24"/>
      <c r="Z24"/>
    </row>
    <row r="25" spans="1:26">
      <c r="A25" s="772" t="s">
        <v>716</v>
      </c>
      <c r="B25" s="724">
        <v>0.08</v>
      </c>
      <c r="C25" s="724">
        <v>0.05</v>
      </c>
      <c r="D25" s="724">
        <v>0.04</v>
      </c>
      <c r="E25" s="724">
        <v>0.06</v>
      </c>
      <c r="F25" s="724">
        <v>3.5000000000000003E-2</v>
      </c>
      <c r="G25" s="156"/>
      <c r="H25" s="156"/>
      <c r="I25" s="156"/>
      <c r="J25" s="156"/>
      <c r="K25" s="156"/>
      <c r="L25" s="2"/>
      <c r="M25" s="4"/>
      <c r="N25"/>
      <c r="O25"/>
      <c r="P25"/>
      <c r="Q25"/>
      <c r="R25"/>
      <c r="S25"/>
      <c r="T25"/>
      <c r="U25"/>
      <c r="V25"/>
      <c r="W25"/>
      <c r="X25"/>
      <c r="Y25"/>
      <c r="Z25"/>
    </row>
    <row r="26" spans="1:26">
      <c r="A26" s="772" t="s">
        <v>681</v>
      </c>
      <c r="B26" s="724">
        <v>0.06</v>
      </c>
      <c r="C26" s="724">
        <v>0.1</v>
      </c>
      <c r="D26" s="724">
        <v>0.1</v>
      </c>
      <c r="E26" s="724">
        <v>0.125</v>
      </c>
      <c r="F26" s="724">
        <v>0.06</v>
      </c>
      <c r="G26" s="156"/>
      <c r="H26" s="156"/>
      <c r="I26" s="156"/>
      <c r="J26" s="156"/>
      <c r="K26" s="156"/>
      <c r="L26" s="2"/>
      <c r="M26" s="4"/>
      <c r="N26"/>
      <c r="O26"/>
      <c r="P26"/>
      <c r="Q26"/>
      <c r="R26"/>
      <c r="S26"/>
      <c r="T26"/>
      <c r="U26"/>
      <c r="V26"/>
      <c r="W26"/>
      <c r="X26"/>
      <c r="Y26"/>
      <c r="Z26"/>
    </row>
    <row r="27" spans="1:26" ht="16.2">
      <c r="A27" s="772" t="s">
        <v>98</v>
      </c>
      <c r="B27" s="1811" t="s">
        <v>988</v>
      </c>
      <c r="C27" s="1812"/>
      <c r="D27" s="724">
        <v>7.0499999999999993E-2</v>
      </c>
      <c r="E27" s="771" t="s">
        <v>987</v>
      </c>
      <c r="F27" s="771" t="s">
        <v>986</v>
      </c>
      <c r="G27" s="156"/>
      <c r="H27" s="156"/>
      <c r="I27" s="156"/>
      <c r="J27" s="156"/>
      <c r="K27" s="156"/>
      <c r="L27" s="2"/>
      <c r="M27" s="4"/>
      <c r="N27"/>
      <c r="O27"/>
      <c r="P27"/>
      <c r="Q27"/>
      <c r="R27"/>
      <c r="S27"/>
      <c r="T27"/>
      <c r="U27"/>
      <c r="V27"/>
      <c r="W27"/>
      <c r="X27"/>
      <c r="Y27"/>
      <c r="Z27"/>
    </row>
    <row r="28" spans="1:26">
      <c r="A28" s="21"/>
      <c r="B28" s="770"/>
      <c r="C28" s="770"/>
      <c r="D28" s="770"/>
      <c r="E28" s="770"/>
      <c r="F28" s="770"/>
      <c r="G28" s="156"/>
      <c r="H28" s="156"/>
      <c r="I28" s="156"/>
      <c r="J28" s="156"/>
      <c r="K28" s="156"/>
      <c r="L28" s="2"/>
      <c r="M28" s="4"/>
      <c r="N28"/>
      <c r="O28"/>
      <c r="P28"/>
      <c r="Q28"/>
      <c r="R28"/>
      <c r="S28"/>
      <c r="T28"/>
      <c r="U28"/>
      <c r="V28"/>
      <c r="W28"/>
      <c r="X28"/>
      <c r="Y28"/>
      <c r="Z28"/>
    </row>
    <row r="29" spans="1:26">
      <c r="A29" s="484" t="s">
        <v>985</v>
      </c>
      <c r="B29" s="770"/>
      <c r="C29" s="770"/>
      <c r="D29" s="770"/>
      <c r="E29" s="770"/>
      <c r="F29" s="770"/>
      <c r="G29" s="156"/>
      <c r="H29" s="156"/>
      <c r="I29" s="156"/>
      <c r="J29" s="156"/>
      <c r="K29" s="156"/>
      <c r="L29" s="2"/>
      <c r="M29" s="4"/>
      <c r="N29"/>
      <c r="O29"/>
      <c r="P29"/>
      <c r="Q29"/>
      <c r="R29"/>
      <c r="S29"/>
      <c r="T29"/>
      <c r="U29"/>
      <c r="V29"/>
      <c r="W29"/>
      <c r="X29"/>
      <c r="Y29"/>
      <c r="Z29"/>
    </row>
    <row r="30" spans="1:26">
      <c r="A30" s="484" t="s">
        <v>984</v>
      </c>
      <c r="B30" s="770"/>
      <c r="C30" s="770"/>
      <c r="D30" s="770"/>
      <c r="E30" s="770"/>
      <c r="F30" s="770"/>
      <c r="G30" s="156"/>
      <c r="H30" s="156"/>
      <c r="I30" s="156"/>
      <c r="J30" s="156"/>
      <c r="K30" s="156"/>
      <c r="L30" s="769"/>
      <c r="M30" s="4"/>
      <c r="N30"/>
      <c r="O30"/>
      <c r="P30"/>
      <c r="Q30"/>
      <c r="R30"/>
      <c r="S30"/>
      <c r="T30"/>
      <c r="U30"/>
      <c r="V30"/>
      <c r="W30"/>
      <c r="X30"/>
      <c r="Y30"/>
      <c r="Z30"/>
    </row>
    <row r="31" spans="1:26">
      <c r="A31" s="768"/>
      <c r="B31" s="767"/>
      <c r="C31" s="767"/>
      <c r="D31" s="767"/>
      <c r="E31" s="767"/>
      <c r="F31" s="767"/>
      <c r="G31" s="156"/>
      <c r="H31" s="156"/>
      <c r="I31" s="156"/>
      <c r="J31" s="766"/>
      <c r="K31" s="765"/>
      <c r="L31" s="764" t="s">
        <v>983</v>
      </c>
      <c r="M31" s="1813">
        <v>0.3</v>
      </c>
      <c r="N31"/>
      <c r="O31"/>
      <c r="P31"/>
      <c r="Q31"/>
      <c r="R31"/>
      <c r="S31"/>
      <c r="T31"/>
      <c r="U31"/>
      <c r="V31"/>
      <c r="W31"/>
      <c r="X31"/>
      <c r="Y31"/>
      <c r="Z31"/>
    </row>
    <row r="32" spans="1:26">
      <c r="A32" s="3" t="s">
        <v>982</v>
      </c>
      <c r="B32" s="3"/>
      <c r="C32" s="3"/>
      <c r="D32" s="3"/>
      <c r="E32" s="3"/>
      <c r="F32" s="3"/>
      <c r="G32" s="3"/>
      <c r="H32" s="3"/>
      <c r="I32" s="2"/>
      <c r="J32" s="763"/>
      <c r="K32" s="762"/>
      <c r="L32" s="761" t="s">
        <v>981</v>
      </c>
      <c r="M32" s="1813"/>
      <c r="N32"/>
      <c r="O32"/>
      <c r="P32"/>
      <c r="Q32"/>
      <c r="R32"/>
      <c r="S32"/>
      <c r="T32"/>
      <c r="U32"/>
      <c r="V32"/>
      <c r="W32"/>
      <c r="X32"/>
      <c r="Y32"/>
      <c r="Z32"/>
    </row>
    <row r="33" spans="1:29" ht="16.2">
      <c r="A33" s="760" t="s">
        <v>350</v>
      </c>
      <c r="B33" s="162" t="s">
        <v>980</v>
      </c>
      <c r="C33" s="3"/>
      <c r="D33" s="3"/>
      <c r="E33" s="3"/>
      <c r="F33" s="3"/>
      <c r="G33" s="3"/>
      <c r="H33" s="3"/>
      <c r="I33" s="2"/>
      <c r="J33" s="2"/>
      <c r="K33" s="2"/>
      <c r="L33" s="2"/>
      <c r="M33" s="4"/>
      <c r="N33"/>
      <c r="O33"/>
      <c r="P33"/>
      <c r="Q33"/>
      <c r="R33"/>
      <c r="S33"/>
      <c r="T33"/>
      <c r="U33"/>
      <c r="V33"/>
      <c r="W33"/>
      <c r="X33"/>
      <c r="Y33"/>
      <c r="Z33"/>
    </row>
    <row r="34" spans="1:29">
      <c r="A34" s="760" t="s">
        <v>344</v>
      </c>
      <c r="B34" s="162" t="s">
        <v>975</v>
      </c>
      <c r="C34" s="3"/>
      <c r="D34" s="3"/>
      <c r="E34" s="3"/>
      <c r="F34" s="3"/>
      <c r="G34" s="3"/>
      <c r="H34" s="3"/>
      <c r="I34" s="2"/>
      <c r="J34" s="2"/>
      <c r="K34" s="2"/>
      <c r="L34" s="2"/>
      <c r="M34" s="4"/>
      <c r="N34"/>
      <c r="O34"/>
      <c r="P34"/>
      <c r="Q34"/>
      <c r="R34"/>
      <c r="S34"/>
      <c r="T34"/>
      <c r="U34"/>
      <c r="V34"/>
      <c r="W34"/>
      <c r="X34"/>
      <c r="Y34"/>
      <c r="Z34"/>
    </row>
    <row r="35" spans="1:29" ht="16.2">
      <c r="A35" s="760" t="s">
        <v>974</v>
      </c>
      <c r="B35" s="162" t="s">
        <v>979</v>
      </c>
      <c r="C35" s="3"/>
      <c r="D35" s="3"/>
      <c r="E35" s="3"/>
      <c r="F35" s="3"/>
      <c r="G35" s="3"/>
      <c r="H35" s="3"/>
      <c r="I35" s="2"/>
      <c r="J35" s="2"/>
      <c r="K35" s="2"/>
      <c r="L35" s="2"/>
      <c r="M35" s="4"/>
      <c r="N35"/>
      <c r="O35"/>
      <c r="P35"/>
      <c r="Q35"/>
      <c r="R35"/>
      <c r="S35"/>
      <c r="T35"/>
      <c r="U35"/>
      <c r="V35"/>
      <c r="W35"/>
      <c r="X35"/>
      <c r="Y35"/>
      <c r="Z35"/>
    </row>
    <row r="36" spans="1:29" ht="16.2">
      <c r="A36" s="760" t="s">
        <v>972</v>
      </c>
      <c r="B36" s="162" t="s">
        <v>978</v>
      </c>
      <c r="C36" s="3"/>
      <c r="D36" s="3"/>
      <c r="E36" s="3"/>
      <c r="F36" s="3"/>
      <c r="G36" s="3"/>
      <c r="H36" s="3"/>
      <c r="I36" s="2"/>
      <c r="J36" s="2"/>
      <c r="K36" s="2"/>
      <c r="L36" s="2"/>
      <c r="M36" s="4"/>
      <c r="N36"/>
      <c r="O36"/>
      <c r="P36"/>
      <c r="Q36"/>
      <c r="R36"/>
      <c r="S36"/>
      <c r="T36"/>
      <c r="U36"/>
      <c r="V36"/>
      <c r="W36"/>
      <c r="X36"/>
      <c r="Y36"/>
      <c r="Z36"/>
    </row>
    <row r="37" spans="1:29" ht="16.2">
      <c r="A37" s="5"/>
      <c r="B37" s="94" t="s">
        <v>977</v>
      </c>
      <c r="C37" s="94"/>
      <c r="D37" s="759"/>
      <c r="E37" s="759"/>
      <c r="F37" s="3"/>
      <c r="G37" s="3"/>
      <c r="H37" s="3"/>
      <c r="I37" s="2"/>
      <c r="J37" s="2"/>
      <c r="K37" s="2"/>
      <c r="L37" s="2"/>
      <c r="M37" s="4"/>
      <c r="N37"/>
      <c r="O37"/>
      <c r="P37"/>
      <c r="Q37"/>
      <c r="R37"/>
      <c r="S37"/>
      <c r="T37"/>
      <c r="U37"/>
      <c r="V37"/>
      <c r="W37"/>
      <c r="X37"/>
      <c r="Y37"/>
      <c r="Z37"/>
      <c r="AA37"/>
    </row>
    <row r="38" spans="1:29">
      <c r="M38"/>
      <c r="N38"/>
      <c r="O38"/>
      <c r="P38"/>
      <c r="Q38"/>
      <c r="R38"/>
      <c r="S38"/>
      <c r="T38"/>
      <c r="U38"/>
      <c r="V38"/>
      <c r="W38"/>
      <c r="X38"/>
      <c r="Y38"/>
      <c r="Z38"/>
      <c r="AA38"/>
    </row>
    <row r="39" spans="1:29">
      <c r="A39" s="753" t="s">
        <v>350</v>
      </c>
      <c r="B39" s="758">
        <f>SQRT((B25*B19)^2+(C25*C19)^2+(B26*B20)^2+(C26*C20)^2)</f>
        <v>3.4369317712168806E-2</v>
      </c>
      <c r="C39" s="751" t="s">
        <v>976</v>
      </c>
      <c r="D39" s="87"/>
      <c r="E39" s="87"/>
      <c r="F39" s="87"/>
      <c r="G39" s="87"/>
      <c r="H39"/>
      <c r="M39"/>
      <c r="N39"/>
      <c r="O39"/>
      <c r="P39"/>
      <c r="Q39"/>
      <c r="R39"/>
      <c r="S39"/>
      <c r="T39"/>
      <c r="U39"/>
      <c r="V39"/>
      <c r="W39"/>
      <c r="X39"/>
      <c r="Y39"/>
      <c r="Z39"/>
      <c r="AA39"/>
    </row>
    <row r="40" spans="1:29">
      <c r="A40" s="753"/>
      <c r="B40" s="757"/>
      <c r="C40" s="756"/>
      <c r="M40"/>
      <c r="N40"/>
      <c r="O40"/>
      <c r="P40"/>
      <c r="Q40"/>
      <c r="R40"/>
      <c r="S40"/>
      <c r="T40"/>
      <c r="U40"/>
      <c r="V40"/>
      <c r="W40"/>
      <c r="X40"/>
      <c r="Y40"/>
      <c r="Z40"/>
      <c r="AA40"/>
    </row>
    <row r="41" spans="1:29">
      <c r="A41" s="753" t="s">
        <v>344</v>
      </c>
      <c r="B41" s="755">
        <f>((SUM(B19:B20)*D27)^2-(D25*B19)^2-(D26*B20)^2)/(2*(B19*D25)*(B20*D26))</f>
        <v>0.36181098090277641</v>
      </c>
      <c r="C41" s="751" t="s">
        <v>975</v>
      </c>
      <c r="D41" s="750"/>
      <c r="E41" s="750"/>
      <c r="F41" s="750"/>
      <c r="G41" s="750"/>
      <c r="H41" s="750"/>
      <c r="I41" s="750"/>
      <c r="M41"/>
      <c r="N41"/>
      <c r="O41"/>
      <c r="P41"/>
      <c r="Q41"/>
      <c r="R41"/>
      <c r="S41"/>
      <c r="T41"/>
      <c r="U41"/>
      <c r="V41"/>
      <c r="W41"/>
      <c r="X41"/>
      <c r="Y41"/>
      <c r="Z41"/>
      <c r="AA41"/>
    </row>
    <row r="42" spans="1:29">
      <c r="A42" s="753"/>
      <c r="B42" s="750"/>
      <c r="C42" s="754"/>
      <c r="D42" s="750"/>
      <c r="E42" s="750"/>
      <c r="F42" s="750"/>
      <c r="G42" s="750"/>
      <c r="H42" s="750"/>
      <c r="I42" s="750"/>
      <c r="M42"/>
      <c r="N42"/>
      <c r="O42"/>
      <c r="P42"/>
      <c r="Q42"/>
      <c r="R42"/>
      <c r="S42"/>
      <c r="T42"/>
      <c r="U42"/>
      <c r="V42"/>
      <c r="W42"/>
      <c r="X42"/>
      <c r="Y42"/>
      <c r="Z42"/>
      <c r="AA42"/>
    </row>
    <row r="43" spans="1:29">
      <c r="A43" s="753" t="s">
        <v>974</v>
      </c>
      <c r="B43" s="752">
        <f>SQRT((E25*C19)^2+(E26*C20)^2+2*(E25*C19)*(E26*C20)*$B$41)/SUM(C19:C20)</f>
        <v>6.1622612360777623E-2</v>
      </c>
      <c r="C43" s="751" t="s">
        <v>973</v>
      </c>
      <c r="D43" s="750"/>
      <c r="E43" s="750"/>
      <c r="F43" s="750"/>
      <c r="G43" s="750"/>
      <c r="H43" s="750"/>
      <c r="I43" s="750"/>
      <c r="M43"/>
      <c r="N43"/>
      <c r="O43"/>
      <c r="P43"/>
      <c r="Q43"/>
      <c r="R43"/>
      <c r="S43"/>
      <c r="T43"/>
      <c r="U43"/>
      <c r="V43"/>
      <c r="W43"/>
      <c r="X43"/>
      <c r="Y43"/>
      <c r="Z43"/>
      <c r="AA43"/>
    </row>
    <row r="44" spans="1:29">
      <c r="A44" s="753"/>
      <c r="B44" s="750"/>
      <c r="C44" s="754"/>
      <c r="D44" s="750"/>
      <c r="E44" s="750"/>
      <c r="F44" s="750"/>
      <c r="G44" s="750"/>
      <c r="H44" s="750"/>
      <c r="I44" s="750"/>
      <c r="M44"/>
      <c r="N44"/>
      <c r="O44"/>
      <c r="P44"/>
      <c r="Q44"/>
      <c r="R44"/>
      <c r="S44"/>
      <c r="T44"/>
      <c r="U44"/>
      <c r="V44"/>
      <c r="W44"/>
      <c r="X44"/>
      <c r="Y44"/>
      <c r="Z44"/>
      <c r="AA44"/>
    </row>
    <row r="45" spans="1:29">
      <c r="A45" s="753" t="s">
        <v>972</v>
      </c>
      <c r="B45" s="752">
        <f>SQRT((F25*SUM(B19:C19))^2+(F26*SUM(B20:C20))^2+2*$M$31*F25*SUM(B19:C19)*F26*SUM(B20:C20))</f>
        <v>3.8263600523212662E-2</v>
      </c>
      <c r="C45" s="751" t="s">
        <v>971</v>
      </c>
      <c r="D45" s="750"/>
      <c r="E45" s="750"/>
      <c r="F45" s="750"/>
      <c r="G45" s="750"/>
      <c r="H45" s="750"/>
      <c r="I45" s="750"/>
      <c r="M45"/>
      <c r="N45"/>
      <c r="O45"/>
      <c r="P45"/>
      <c r="Q45"/>
      <c r="R45"/>
      <c r="S45"/>
      <c r="T45"/>
      <c r="U45"/>
      <c r="V45"/>
      <c r="W45"/>
      <c r="X45"/>
      <c r="Y45"/>
      <c r="Z45"/>
      <c r="AA45"/>
    </row>
    <row r="46" spans="1:29">
      <c r="M46"/>
      <c r="N46"/>
      <c r="O46"/>
      <c r="P46"/>
      <c r="Q46"/>
      <c r="R46"/>
      <c r="S46"/>
      <c r="T46"/>
      <c r="U46"/>
      <c r="V46"/>
      <c r="W46"/>
      <c r="X46"/>
      <c r="Y46"/>
      <c r="Z46"/>
      <c r="AA46"/>
      <c r="AB46" s="57"/>
      <c r="AC46" s="57"/>
    </row>
    <row r="47" spans="1:29">
      <c r="M47"/>
      <c r="N47" s="37"/>
      <c r="O47" s="37"/>
      <c r="P47" s="37"/>
      <c r="Q47" s="37"/>
      <c r="R47" s="37"/>
      <c r="S47" s="37"/>
      <c r="T47" s="57"/>
      <c r="U47" s="57"/>
      <c r="V47" s="57"/>
      <c r="W47" s="57"/>
      <c r="X47" s="57"/>
      <c r="AB47" s="57"/>
      <c r="AC47" s="57"/>
    </row>
    <row r="48" spans="1:29">
      <c r="M48"/>
      <c r="N48" s="37"/>
      <c r="O48" s="37"/>
      <c r="P48" s="37"/>
      <c r="Q48" s="37"/>
      <c r="R48" s="37"/>
      <c r="S48" s="37"/>
      <c r="T48" s="57"/>
      <c r="U48" s="57"/>
      <c r="V48" s="57"/>
      <c r="W48" s="57"/>
      <c r="X48" s="57"/>
      <c r="AB48" s="57"/>
      <c r="AC48" s="57"/>
    </row>
    <row r="49" spans="13:26">
      <c r="M49"/>
      <c r="N49" s="87"/>
      <c r="O49" s="87"/>
      <c r="P49" s="87"/>
      <c r="Q49" s="87"/>
      <c r="R49" s="87"/>
      <c r="S49" s="87"/>
      <c r="T49"/>
      <c r="U49"/>
      <c r="V49"/>
      <c r="W49"/>
      <c r="X49"/>
      <c r="Y49"/>
      <c r="Z49"/>
    </row>
    <row r="50" spans="13:26">
      <c r="M50"/>
      <c r="N50" s="87"/>
      <c r="O50" s="87"/>
      <c r="P50" s="87"/>
      <c r="Q50" s="87"/>
      <c r="R50" s="87"/>
      <c r="S50" s="87"/>
      <c r="T50"/>
      <c r="U50"/>
      <c r="V50"/>
      <c r="W50"/>
      <c r="X50"/>
      <c r="Y50"/>
      <c r="Z50"/>
    </row>
    <row r="51" spans="13:26">
      <c r="M51"/>
      <c r="N51"/>
      <c r="O51"/>
      <c r="P51"/>
      <c r="Q51"/>
      <c r="R51"/>
      <c r="S51"/>
      <c r="T51"/>
      <c r="U51"/>
      <c r="V51"/>
      <c r="W51"/>
      <c r="X51"/>
      <c r="Y51"/>
      <c r="Z51"/>
    </row>
    <row r="52" spans="13:26">
      <c r="M52"/>
      <c r="N52"/>
      <c r="O52"/>
      <c r="P52"/>
      <c r="Q52"/>
      <c r="R52"/>
      <c r="S52"/>
      <c r="T52"/>
      <c r="U52"/>
      <c r="V52"/>
      <c r="W52"/>
      <c r="X52"/>
      <c r="Y52"/>
      <c r="Z52"/>
    </row>
    <row r="53" spans="13:26">
      <c r="M53"/>
      <c r="N53"/>
      <c r="O53"/>
      <c r="P53"/>
      <c r="Q53"/>
      <c r="R53"/>
      <c r="S53"/>
      <c r="T53"/>
      <c r="U53"/>
      <c r="V53"/>
      <c r="W53"/>
      <c r="X53"/>
      <c r="Y53"/>
      <c r="Z53"/>
    </row>
    <row r="54" spans="13:26">
      <c r="M54"/>
      <c r="N54"/>
      <c r="O54"/>
      <c r="P54"/>
      <c r="Q54"/>
      <c r="R54"/>
      <c r="S54"/>
      <c r="T54"/>
      <c r="U54"/>
      <c r="V54"/>
      <c r="W54"/>
      <c r="X54"/>
      <c r="Y54"/>
      <c r="Z54"/>
    </row>
    <row r="55" spans="13:26">
      <c r="M55"/>
      <c r="N55"/>
      <c r="O55"/>
      <c r="P55"/>
      <c r="Q55"/>
      <c r="R55"/>
      <c r="S55"/>
      <c r="T55"/>
      <c r="U55"/>
      <c r="V55"/>
      <c r="W55"/>
      <c r="X55"/>
      <c r="Y55"/>
      <c r="Z55"/>
    </row>
    <row r="56" spans="13:26">
      <c r="M56"/>
      <c r="N56"/>
      <c r="O56"/>
      <c r="P56"/>
      <c r="Q56"/>
      <c r="R56"/>
      <c r="S56"/>
      <c r="T56"/>
      <c r="U56"/>
      <c r="V56"/>
      <c r="W56"/>
      <c r="X56"/>
      <c r="Y56"/>
      <c r="Z56"/>
    </row>
    <row r="57" spans="13:26">
      <c r="M57"/>
      <c r="N57"/>
      <c r="O57"/>
      <c r="P57"/>
      <c r="Q57"/>
      <c r="R57"/>
      <c r="S57"/>
      <c r="T57"/>
      <c r="U57"/>
      <c r="V57"/>
      <c r="W57"/>
      <c r="X57"/>
      <c r="Y57"/>
      <c r="Z57"/>
    </row>
    <row r="58" spans="13:26">
      <c r="M58"/>
      <c r="N58"/>
      <c r="O58"/>
      <c r="P58"/>
      <c r="Q58"/>
      <c r="R58"/>
      <c r="S58"/>
      <c r="T58"/>
      <c r="U58"/>
      <c r="V58"/>
      <c r="W58"/>
      <c r="X58"/>
      <c r="Y58"/>
      <c r="Z58"/>
    </row>
    <row r="59" spans="13:26">
      <c r="M59"/>
      <c r="N59"/>
      <c r="O59"/>
      <c r="P59"/>
      <c r="Q59"/>
      <c r="R59"/>
      <c r="S59"/>
      <c r="T59"/>
      <c r="U59"/>
      <c r="V59"/>
      <c r="W59"/>
      <c r="X59"/>
      <c r="Y59"/>
      <c r="Z59"/>
    </row>
    <row r="60" spans="13:26">
      <c r="M60"/>
      <c r="N60"/>
      <c r="O60"/>
      <c r="P60"/>
      <c r="Q60"/>
      <c r="R60"/>
      <c r="S60"/>
      <c r="T60"/>
      <c r="U60"/>
      <c r="V60"/>
      <c r="W60"/>
      <c r="X60"/>
      <c r="Y60"/>
      <c r="Z60"/>
    </row>
    <row r="61" spans="13:26">
      <c r="M61"/>
      <c r="N61"/>
      <c r="O61"/>
      <c r="P61"/>
      <c r="Q61"/>
      <c r="R61"/>
      <c r="S61"/>
      <c r="T61"/>
      <c r="U61"/>
      <c r="V61"/>
      <c r="W61"/>
      <c r="X61"/>
      <c r="Y61"/>
      <c r="Z61"/>
    </row>
    <row r="62" spans="13:26">
      <c r="M62"/>
      <c r="N62"/>
      <c r="O62"/>
      <c r="P62"/>
      <c r="Q62"/>
      <c r="R62"/>
      <c r="S62"/>
      <c r="T62"/>
      <c r="U62"/>
      <c r="V62"/>
      <c r="W62"/>
      <c r="X62"/>
      <c r="Y62"/>
      <c r="Z62"/>
    </row>
    <row r="63" spans="13:26">
      <c r="M63"/>
      <c r="N63"/>
      <c r="O63"/>
      <c r="P63"/>
      <c r="Q63"/>
      <c r="R63"/>
      <c r="S63"/>
      <c r="T63"/>
      <c r="U63"/>
      <c r="V63"/>
      <c r="W63"/>
      <c r="X63"/>
      <c r="Y63"/>
      <c r="Z63"/>
    </row>
    <row r="64" spans="13:26">
      <c r="M64"/>
      <c r="N64"/>
      <c r="O64"/>
      <c r="P64"/>
      <c r="Q64"/>
      <c r="R64"/>
      <c r="S64"/>
      <c r="T64"/>
      <c r="U64"/>
      <c r="V64"/>
      <c r="W64"/>
      <c r="X64"/>
      <c r="Y64"/>
      <c r="Z64"/>
    </row>
    <row r="65" spans="13:26">
      <c r="M65"/>
      <c r="N65"/>
      <c r="O65"/>
      <c r="P65"/>
      <c r="Q65"/>
      <c r="R65"/>
      <c r="S65"/>
      <c r="T65"/>
      <c r="U65"/>
      <c r="V65"/>
      <c r="W65"/>
      <c r="X65"/>
      <c r="Y65"/>
      <c r="Z65"/>
    </row>
    <row r="66" spans="13:26">
      <c r="M66"/>
      <c r="N66"/>
      <c r="O66"/>
      <c r="P66"/>
      <c r="Q66"/>
      <c r="R66"/>
      <c r="S66"/>
      <c r="T66"/>
      <c r="U66"/>
      <c r="V66"/>
      <c r="W66"/>
      <c r="X66"/>
      <c r="Y66"/>
      <c r="Z66"/>
    </row>
    <row r="67" spans="13:26">
      <c r="M67"/>
      <c r="N67"/>
      <c r="O67"/>
      <c r="P67"/>
      <c r="Q67"/>
      <c r="R67"/>
      <c r="S67"/>
      <c r="T67"/>
      <c r="U67"/>
      <c r="V67"/>
      <c r="W67"/>
      <c r="X67"/>
      <c r="Y67"/>
      <c r="Z67"/>
    </row>
    <row r="68" spans="13:26">
      <c r="M68"/>
      <c r="N68"/>
      <c r="O68"/>
      <c r="P68"/>
      <c r="Q68"/>
      <c r="R68"/>
      <c r="S68"/>
      <c r="T68"/>
      <c r="U68"/>
      <c r="V68"/>
      <c r="W68"/>
      <c r="X68"/>
      <c r="Y68"/>
      <c r="Z68"/>
    </row>
    <row r="69" spans="13:26">
      <c r="M69"/>
      <c r="N69"/>
      <c r="O69"/>
      <c r="P69"/>
      <c r="Q69"/>
      <c r="R69"/>
      <c r="S69"/>
      <c r="T69"/>
      <c r="U69"/>
      <c r="V69"/>
      <c r="W69"/>
      <c r="X69"/>
      <c r="Y69"/>
      <c r="Z69"/>
    </row>
    <row r="70" spans="13:26">
      <c r="M70"/>
      <c r="N70"/>
      <c r="O70"/>
      <c r="P70"/>
      <c r="Q70"/>
      <c r="R70"/>
      <c r="S70"/>
      <c r="T70"/>
      <c r="U70"/>
      <c r="V70"/>
      <c r="W70"/>
      <c r="X70"/>
      <c r="Y70"/>
      <c r="Z70"/>
    </row>
    <row r="71" spans="13:26">
      <c r="M71"/>
      <c r="N71"/>
      <c r="O71"/>
      <c r="P71"/>
      <c r="Q71"/>
      <c r="R71"/>
      <c r="S71"/>
      <c r="T71"/>
      <c r="U71"/>
      <c r="V71"/>
      <c r="W71"/>
      <c r="X71"/>
      <c r="Y71"/>
      <c r="Z71"/>
    </row>
    <row r="72" spans="13:26">
      <c r="M72"/>
      <c r="N72"/>
      <c r="O72"/>
      <c r="P72"/>
      <c r="Q72"/>
      <c r="R72"/>
      <c r="S72"/>
      <c r="T72"/>
      <c r="U72"/>
      <c r="V72"/>
      <c r="W72"/>
      <c r="X72"/>
      <c r="Y72"/>
      <c r="Z72"/>
    </row>
    <row r="73" spans="13:26">
      <c r="M73"/>
      <c r="N73"/>
      <c r="O73"/>
      <c r="P73"/>
      <c r="Q73"/>
      <c r="R73"/>
      <c r="S73"/>
      <c r="T73"/>
      <c r="U73"/>
      <c r="V73"/>
      <c r="W73"/>
      <c r="X73"/>
      <c r="Y73"/>
      <c r="Z73"/>
    </row>
    <row r="74" spans="13:26">
      <c r="M74"/>
      <c r="N74"/>
      <c r="O74"/>
      <c r="P74"/>
      <c r="Q74"/>
      <c r="R74"/>
      <c r="S74"/>
      <c r="T74"/>
      <c r="U74"/>
      <c r="V74"/>
      <c r="W74"/>
      <c r="X74"/>
      <c r="Y74"/>
      <c r="Z74"/>
    </row>
    <row r="75" spans="13:26">
      <c r="M75"/>
      <c r="N75"/>
      <c r="O75"/>
      <c r="P75"/>
      <c r="Q75"/>
      <c r="R75"/>
      <c r="S75"/>
      <c r="T75"/>
      <c r="U75"/>
      <c r="V75"/>
      <c r="W75"/>
      <c r="X75"/>
      <c r="Y75"/>
      <c r="Z75"/>
    </row>
    <row r="76" spans="13:26">
      <c r="M76"/>
      <c r="N76"/>
      <c r="O76"/>
      <c r="P76"/>
      <c r="Q76"/>
      <c r="R76"/>
      <c r="S76"/>
      <c r="T76"/>
      <c r="U76"/>
      <c r="V76"/>
      <c r="W76"/>
      <c r="X76"/>
      <c r="Y76"/>
      <c r="Z76"/>
    </row>
    <row r="77" spans="13:26">
      <c r="M77"/>
      <c r="N77"/>
      <c r="O77"/>
      <c r="P77"/>
      <c r="Q77"/>
      <c r="R77"/>
      <c r="S77"/>
      <c r="T77"/>
      <c r="U77"/>
      <c r="V77"/>
      <c r="W77"/>
      <c r="X77"/>
      <c r="Y77"/>
      <c r="Z77"/>
    </row>
    <row r="78" spans="13:26">
      <c r="M78"/>
      <c r="N78"/>
      <c r="O78"/>
      <c r="P78"/>
      <c r="Q78"/>
      <c r="R78"/>
      <c r="S78"/>
      <c r="T78"/>
      <c r="U78"/>
      <c r="V78"/>
      <c r="W78"/>
      <c r="X78"/>
      <c r="Y78"/>
      <c r="Z78"/>
    </row>
    <row r="79" spans="13:26">
      <c r="M79"/>
      <c r="N79"/>
      <c r="O79"/>
      <c r="P79"/>
      <c r="Q79"/>
      <c r="R79"/>
      <c r="S79"/>
      <c r="T79"/>
      <c r="U79"/>
      <c r="V79"/>
      <c r="W79"/>
      <c r="X79"/>
      <c r="Y79"/>
      <c r="Z79"/>
    </row>
    <row r="80" spans="13:26">
      <c r="M80"/>
      <c r="N80"/>
      <c r="O80"/>
      <c r="P80"/>
      <c r="Q80"/>
      <c r="R80"/>
      <c r="S80"/>
      <c r="T80"/>
      <c r="U80"/>
      <c r="V80"/>
      <c r="W80"/>
      <c r="X80"/>
      <c r="Y80"/>
      <c r="Z80"/>
    </row>
    <row r="81" spans="13:26">
      <c r="M81"/>
      <c r="N81"/>
      <c r="O81"/>
      <c r="P81"/>
      <c r="Q81"/>
      <c r="R81"/>
      <c r="S81"/>
      <c r="T81"/>
      <c r="U81"/>
      <c r="V81"/>
      <c r="W81"/>
      <c r="X81"/>
      <c r="Y81"/>
      <c r="Z81"/>
    </row>
    <row r="82" spans="13:26">
      <c r="M82"/>
      <c r="N82"/>
      <c r="O82"/>
      <c r="P82"/>
      <c r="Q82"/>
      <c r="R82"/>
      <c r="S82"/>
      <c r="T82"/>
      <c r="U82"/>
      <c r="V82"/>
      <c r="W82"/>
      <c r="X82"/>
      <c r="Y82"/>
      <c r="Z82"/>
    </row>
    <row r="83" spans="13:26">
      <c r="M83"/>
      <c r="N83"/>
      <c r="O83"/>
      <c r="P83"/>
      <c r="Q83"/>
      <c r="R83"/>
      <c r="S83"/>
      <c r="T83"/>
      <c r="U83"/>
      <c r="V83"/>
      <c r="W83"/>
      <c r="X83"/>
      <c r="Y83"/>
      <c r="Z83"/>
    </row>
    <row r="84" spans="13:26">
      <c r="M84"/>
      <c r="N84"/>
      <c r="O84"/>
      <c r="P84"/>
      <c r="Q84"/>
      <c r="R84"/>
      <c r="S84"/>
      <c r="T84"/>
      <c r="U84"/>
      <c r="V84"/>
      <c r="W84"/>
      <c r="X84"/>
      <c r="Y84"/>
      <c r="Z84"/>
    </row>
    <row r="85" spans="13:26">
      <c r="M85"/>
      <c r="N85"/>
      <c r="O85"/>
      <c r="P85"/>
      <c r="Q85"/>
      <c r="R85"/>
      <c r="S85"/>
      <c r="T85"/>
      <c r="U85"/>
      <c r="V85"/>
      <c r="W85"/>
      <c r="X85"/>
      <c r="Y85"/>
      <c r="Z85"/>
    </row>
    <row r="86" spans="13:26">
      <c r="M86"/>
      <c r="N86"/>
      <c r="O86"/>
      <c r="P86"/>
      <c r="Q86"/>
      <c r="R86"/>
      <c r="S86"/>
      <c r="T86"/>
      <c r="U86"/>
      <c r="V86"/>
      <c r="W86"/>
      <c r="X86"/>
      <c r="Y86"/>
      <c r="Z86"/>
    </row>
    <row r="87" spans="13:26">
      <c r="M87"/>
      <c r="N87"/>
      <c r="O87"/>
      <c r="P87"/>
      <c r="Q87"/>
      <c r="R87"/>
      <c r="S87"/>
      <c r="T87"/>
      <c r="U87"/>
      <c r="V87"/>
      <c r="W87"/>
      <c r="X87"/>
      <c r="Y87"/>
      <c r="Z87"/>
    </row>
    <row r="88" spans="13:26">
      <c r="M88"/>
      <c r="N88"/>
      <c r="O88"/>
      <c r="P88"/>
      <c r="Q88"/>
      <c r="R88"/>
      <c r="S88"/>
      <c r="T88"/>
      <c r="U88"/>
      <c r="V88"/>
      <c r="W88"/>
      <c r="X88"/>
      <c r="Y88"/>
      <c r="Z88"/>
    </row>
    <row r="89" spans="13:26">
      <c r="M89"/>
      <c r="N89"/>
      <c r="O89"/>
      <c r="P89"/>
      <c r="Q89"/>
      <c r="R89"/>
      <c r="S89"/>
      <c r="T89"/>
      <c r="U89"/>
      <c r="V89"/>
      <c r="W89"/>
      <c r="X89"/>
      <c r="Y89"/>
      <c r="Z89"/>
    </row>
    <row r="90" spans="13:26">
      <c r="M90"/>
      <c r="N90"/>
      <c r="O90"/>
      <c r="P90"/>
      <c r="Q90"/>
      <c r="R90"/>
      <c r="S90"/>
      <c r="T90"/>
      <c r="U90"/>
      <c r="V90"/>
      <c r="W90"/>
      <c r="X90"/>
      <c r="Y90"/>
      <c r="Z90"/>
    </row>
    <row r="91" spans="13:26">
      <c r="M91"/>
      <c r="N91"/>
      <c r="O91"/>
      <c r="P91"/>
      <c r="Q91"/>
      <c r="R91"/>
      <c r="S91"/>
      <c r="T91"/>
      <c r="U91"/>
      <c r="V91"/>
      <c r="W91"/>
      <c r="X91"/>
      <c r="Y91"/>
      <c r="Z91"/>
    </row>
    <row r="92" spans="13:26">
      <c r="M92"/>
      <c r="N92"/>
      <c r="O92"/>
      <c r="P92"/>
      <c r="Q92"/>
      <c r="R92"/>
      <c r="S92"/>
      <c r="T92"/>
      <c r="U92"/>
      <c r="V92"/>
      <c r="W92"/>
      <c r="X92"/>
      <c r="Y92"/>
      <c r="Z92"/>
    </row>
    <row r="93" spans="13:26">
      <c r="M93"/>
      <c r="N93"/>
      <c r="O93"/>
      <c r="P93"/>
      <c r="Q93"/>
      <c r="R93"/>
      <c r="S93"/>
      <c r="T93"/>
      <c r="U93"/>
      <c r="V93"/>
      <c r="W93"/>
      <c r="X93"/>
      <c r="Y93"/>
      <c r="Z93"/>
    </row>
    <row r="94" spans="13:26">
      <c r="M94"/>
      <c r="N94"/>
      <c r="O94"/>
      <c r="P94"/>
      <c r="Q94"/>
      <c r="R94"/>
      <c r="S94"/>
      <c r="T94"/>
      <c r="U94"/>
      <c r="V94"/>
      <c r="W94"/>
      <c r="X94"/>
      <c r="Y94"/>
      <c r="Z94"/>
    </row>
    <row r="95" spans="13:26">
      <c r="M95"/>
      <c r="N95"/>
      <c r="O95"/>
      <c r="P95"/>
      <c r="Q95"/>
      <c r="R95"/>
      <c r="S95"/>
      <c r="T95"/>
      <c r="U95"/>
      <c r="V95"/>
      <c r="W95"/>
      <c r="X95"/>
      <c r="Y95"/>
      <c r="Z95"/>
    </row>
    <row r="96" spans="13:26">
      <c r="M96"/>
      <c r="N96"/>
      <c r="O96"/>
      <c r="P96"/>
      <c r="Q96"/>
      <c r="R96"/>
      <c r="S96"/>
      <c r="T96"/>
      <c r="U96"/>
      <c r="V96"/>
      <c r="W96"/>
      <c r="X96"/>
      <c r="Y96"/>
      <c r="Z96"/>
    </row>
    <row r="97" spans="13:26">
      <c r="M97"/>
      <c r="N97"/>
      <c r="O97"/>
      <c r="P97"/>
      <c r="Q97"/>
      <c r="R97"/>
      <c r="S97"/>
      <c r="T97"/>
      <c r="U97"/>
      <c r="V97"/>
      <c r="W97"/>
      <c r="X97"/>
      <c r="Y97"/>
      <c r="Z97"/>
    </row>
    <row r="98" spans="13:26">
      <c r="M98"/>
      <c r="N98"/>
      <c r="O98"/>
      <c r="P98"/>
      <c r="Q98"/>
      <c r="R98"/>
      <c r="S98"/>
      <c r="T98"/>
      <c r="U98"/>
      <c r="V98"/>
      <c r="W98"/>
      <c r="X98"/>
      <c r="Y98"/>
      <c r="Z98"/>
    </row>
    <row r="99" spans="13:26">
      <c r="M99"/>
      <c r="N99"/>
      <c r="O99"/>
      <c r="P99"/>
      <c r="Q99"/>
      <c r="R99"/>
      <c r="S99"/>
      <c r="T99"/>
      <c r="U99"/>
      <c r="V99"/>
      <c r="W99"/>
      <c r="X99"/>
      <c r="Y99"/>
      <c r="Z99"/>
    </row>
    <row r="100" spans="13:26">
      <c r="M100"/>
      <c r="N100"/>
      <c r="O100"/>
      <c r="P100"/>
      <c r="Q100"/>
      <c r="R100"/>
      <c r="S100"/>
      <c r="T100"/>
      <c r="U100"/>
      <c r="V100"/>
      <c r="W100"/>
      <c r="X100"/>
      <c r="Y100"/>
      <c r="Z100"/>
    </row>
    <row r="101" spans="13:26">
      <c r="M101"/>
      <c r="N101"/>
      <c r="O101"/>
      <c r="P101"/>
      <c r="Q101"/>
      <c r="R101"/>
      <c r="S101"/>
      <c r="T101"/>
      <c r="U101"/>
      <c r="V101"/>
      <c r="W101"/>
      <c r="X101"/>
      <c r="Y101"/>
      <c r="Z101"/>
    </row>
    <row r="102" spans="13:26">
      <c r="M102"/>
      <c r="N102"/>
      <c r="O102"/>
      <c r="P102"/>
      <c r="Q102"/>
      <c r="R102"/>
      <c r="S102"/>
      <c r="T102"/>
      <c r="U102"/>
      <c r="V102"/>
      <c r="W102"/>
      <c r="X102"/>
      <c r="Y102"/>
      <c r="Z102"/>
    </row>
    <row r="103" spans="13:26">
      <c r="M103"/>
      <c r="N103"/>
      <c r="O103"/>
      <c r="P103"/>
      <c r="Q103"/>
      <c r="R103"/>
      <c r="S103"/>
      <c r="T103"/>
      <c r="U103"/>
      <c r="V103"/>
      <c r="W103"/>
      <c r="X103"/>
      <c r="Y103"/>
      <c r="Z103"/>
    </row>
    <row r="104" spans="13:26">
      <c r="M104"/>
      <c r="N104"/>
      <c r="O104"/>
      <c r="P104"/>
      <c r="Q104"/>
      <c r="R104"/>
      <c r="S104"/>
      <c r="T104"/>
      <c r="U104"/>
      <c r="V104"/>
      <c r="W104"/>
      <c r="X104"/>
      <c r="Y104"/>
      <c r="Z104"/>
    </row>
    <row r="105" spans="13:26">
      <c r="M105"/>
      <c r="N105"/>
      <c r="O105"/>
      <c r="P105"/>
      <c r="Q105"/>
      <c r="R105"/>
      <c r="S105"/>
      <c r="T105"/>
      <c r="U105"/>
      <c r="V105"/>
      <c r="W105"/>
      <c r="X105"/>
      <c r="Y105"/>
      <c r="Z105"/>
    </row>
    <row r="106" spans="13:26">
      <c r="M106"/>
      <c r="N106"/>
      <c r="O106"/>
      <c r="P106"/>
      <c r="Q106"/>
      <c r="R106"/>
      <c r="S106"/>
      <c r="T106"/>
      <c r="U106"/>
      <c r="V106"/>
      <c r="W106"/>
      <c r="X106"/>
      <c r="Y106"/>
      <c r="Z106"/>
    </row>
    <row r="107" spans="13:26">
      <c r="M107"/>
      <c r="N107"/>
      <c r="O107"/>
      <c r="P107"/>
      <c r="Q107"/>
      <c r="R107"/>
      <c r="S107"/>
      <c r="T107"/>
      <c r="U107"/>
      <c r="V107"/>
      <c r="W107"/>
      <c r="X107"/>
      <c r="Y107"/>
      <c r="Z107"/>
    </row>
    <row r="108" spans="13:26">
      <c r="M108"/>
      <c r="N108"/>
      <c r="O108"/>
      <c r="P108"/>
      <c r="Q108"/>
      <c r="R108"/>
      <c r="S108"/>
      <c r="T108"/>
      <c r="U108"/>
      <c r="V108"/>
      <c r="W108"/>
      <c r="X108"/>
      <c r="Y108"/>
      <c r="Z108"/>
    </row>
    <row r="109" spans="13:26">
      <c r="M109"/>
      <c r="N109"/>
      <c r="O109"/>
      <c r="P109"/>
      <c r="Q109"/>
      <c r="R109"/>
      <c r="S109"/>
      <c r="T109"/>
      <c r="U109"/>
      <c r="V109"/>
      <c r="W109"/>
      <c r="X109"/>
      <c r="Y109"/>
      <c r="Z109"/>
    </row>
    <row r="110" spans="13:26">
      <c r="M110"/>
      <c r="N110"/>
      <c r="O110"/>
      <c r="P110"/>
      <c r="Q110"/>
      <c r="R110"/>
      <c r="S110"/>
      <c r="T110"/>
      <c r="U110"/>
      <c r="V110"/>
      <c r="W110"/>
      <c r="X110"/>
      <c r="Y110"/>
      <c r="Z110"/>
    </row>
    <row r="111" spans="13:26">
      <c r="M111"/>
      <c r="N111"/>
      <c r="O111"/>
      <c r="P111"/>
      <c r="Q111"/>
      <c r="R111"/>
      <c r="S111"/>
      <c r="T111"/>
      <c r="U111"/>
      <c r="V111"/>
      <c r="W111"/>
      <c r="X111"/>
      <c r="Y111"/>
      <c r="Z111"/>
    </row>
    <row r="112" spans="13:26">
      <c r="M112"/>
      <c r="N112"/>
      <c r="O112"/>
      <c r="P112"/>
      <c r="Q112"/>
      <c r="R112"/>
      <c r="S112"/>
      <c r="T112"/>
      <c r="U112"/>
      <c r="V112"/>
      <c r="W112"/>
      <c r="X112"/>
      <c r="Y112"/>
      <c r="Z112"/>
    </row>
    <row r="113" spans="1:26">
      <c r="M113"/>
      <c r="N113"/>
      <c r="O113"/>
      <c r="P113"/>
      <c r="Q113"/>
      <c r="R113"/>
      <c r="S113"/>
      <c r="T113"/>
      <c r="U113"/>
      <c r="V113"/>
      <c r="W113"/>
      <c r="X113"/>
      <c r="Y113"/>
      <c r="Z113"/>
    </row>
    <row r="114" spans="1:26">
      <c r="M114"/>
      <c r="N114"/>
      <c r="O114"/>
      <c r="P114"/>
      <c r="Q114"/>
      <c r="R114"/>
      <c r="S114"/>
      <c r="T114"/>
      <c r="U114"/>
      <c r="V114"/>
      <c r="W114"/>
      <c r="X114"/>
      <c r="Y114"/>
      <c r="Z114"/>
    </row>
    <row r="115" spans="1:26">
      <c r="M115"/>
      <c r="N115"/>
      <c r="O115"/>
      <c r="P115"/>
      <c r="Q115"/>
      <c r="R115"/>
      <c r="S115"/>
      <c r="T115"/>
      <c r="U115"/>
      <c r="V115"/>
      <c r="W115"/>
      <c r="X115"/>
      <c r="Y115"/>
      <c r="Z115"/>
    </row>
    <row r="116" spans="1:26">
      <c r="M116"/>
      <c r="N116"/>
      <c r="O116"/>
      <c r="P116"/>
      <c r="Q116"/>
      <c r="R116"/>
      <c r="S116"/>
      <c r="T116"/>
      <c r="U116"/>
      <c r="V116"/>
      <c r="W116"/>
      <c r="X116"/>
      <c r="Y116"/>
      <c r="Z116"/>
    </row>
    <row r="117" spans="1:26">
      <c r="M117"/>
      <c r="N117"/>
      <c r="O117"/>
      <c r="P117"/>
      <c r="Q117"/>
      <c r="R117"/>
      <c r="S117"/>
      <c r="T117"/>
      <c r="U117"/>
      <c r="V117"/>
      <c r="W117"/>
      <c r="X117"/>
      <c r="Y117"/>
      <c r="Z117"/>
    </row>
    <row r="118" spans="1:26">
      <c r="M118"/>
      <c r="N118"/>
      <c r="O118"/>
      <c r="P118"/>
      <c r="Q118"/>
      <c r="R118"/>
      <c r="S118"/>
      <c r="T118"/>
      <c r="U118"/>
      <c r="V118"/>
      <c r="W118"/>
      <c r="X118"/>
      <c r="Y118"/>
      <c r="Z118"/>
    </row>
    <row r="119" spans="1:26">
      <c r="M119"/>
      <c r="N119"/>
      <c r="O119"/>
      <c r="P119"/>
      <c r="Q119"/>
      <c r="R119"/>
      <c r="S119"/>
      <c r="T119"/>
      <c r="U119"/>
      <c r="V119"/>
      <c r="W119"/>
      <c r="X119"/>
      <c r="Y119"/>
      <c r="Z119"/>
    </row>
    <row r="120" spans="1:26">
      <c r="M120"/>
      <c r="N120"/>
      <c r="O120"/>
      <c r="P120"/>
      <c r="Q120"/>
      <c r="R120"/>
      <c r="S120"/>
      <c r="T120"/>
      <c r="U120"/>
      <c r="V120"/>
      <c r="W120"/>
      <c r="X120"/>
      <c r="Y120"/>
      <c r="Z120"/>
    </row>
    <row r="127" spans="1:26">
      <c r="A127"/>
      <c r="B127"/>
      <c r="C127"/>
      <c r="D127"/>
      <c r="E127"/>
      <c r="F127"/>
      <c r="G127"/>
      <c r="H127"/>
      <c r="I127"/>
      <c r="J127"/>
      <c r="K127"/>
      <c r="L127"/>
    </row>
    <row r="128" spans="1:26">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row>
    <row r="138" spans="1:12">
      <c r="A138"/>
      <c r="B138"/>
      <c r="C138"/>
      <c r="D138"/>
      <c r="E138"/>
      <c r="F138"/>
      <c r="G138"/>
      <c r="H138"/>
      <c r="I138"/>
    </row>
    <row r="139" spans="1:12">
      <c r="A139"/>
      <c r="B139"/>
      <c r="C139"/>
      <c r="D139"/>
      <c r="E139"/>
      <c r="F139"/>
      <c r="G139"/>
      <c r="H139"/>
      <c r="I139"/>
    </row>
    <row r="140" spans="1:12">
      <c r="A140"/>
      <c r="B140"/>
      <c r="C140"/>
      <c r="D140"/>
      <c r="E140"/>
      <c r="F140"/>
      <c r="G140"/>
      <c r="H140"/>
      <c r="I140"/>
    </row>
    <row r="141" spans="1:12">
      <c r="A141"/>
      <c r="B141"/>
      <c r="C141"/>
      <c r="D141"/>
      <c r="E141"/>
      <c r="F141"/>
      <c r="G141"/>
      <c r="H141"/>
      <c r="I141"/>
    </row>
    <row r="142" spans="1:12">
      <c r="A142"/>
      <c r="B142"/>
      <c r="C142"/>
      <c r="D142"/>
      <c r="E142"/>
      <c r="F142"/>
      <c r="G142"/>
      <c r="H142"/>
      <c r="I142"/>
    </row>
    <row r="143" spans="1:12">
      <c r="A143"/>
      <c r="B143"/>
      <c r="C143"/>
      <c r="D143"/>
      <c r="E143"/>
      <c r="F143"/>
      <c r="G143"/>
      <c r="H143"/>
      <c r="I143"/>
    </row>
    <row r="144" spans="1:12">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sheetData>
  <mergeCells count="10">
    <mergeCell ref="B27:C27"/>
    <mergeCell ref="M31:M32"/>
    <mergeCell ref="A4:L4"/>
    <mergeCell ref="A16:A18"/>
    <mergeCell ref="B16:C17"/>
    <mergeCell ref="A22:A24"/>
    <mergeCell ref="B22:F22"/>
    <mergeCell ref="B23:C23"/>
    <mergeCell ref="D23:E23"/>
    <mergeCell ref="F23:F24"/>
  </mergeCells>
  <pageMargins left="0.7" right="0.7" top="0.75" bottom="0.75" header="0.3" footer="0.3"/>
  <pageSetup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2E5B6-160B-4DB8-B7F8-BC74C704CCC9}">
  <dimension ref="A1:AA158"/>
  <sheetViews>
    <sheetView zoomScaleNormal="100" workbookViewId="0"/>
  </sheetViews>
  <sheetFormatPr defaultColWidth="9.109375" defaultRowHeight="15.6"/>
  <cols>
    <col min="1" max="1" width="11.6640625" style="1" customWidth="1"/>
    <col min="2" max="2" width="13.6640625" style="1" customWidth="1"/>
    <col min="3" max="5" width="15.6640625" style="1" customWidth="1"/>
    <col min="6" max="6" width="13.6640625" style="1" customWidth="1"/>
    <col min="7" max="10" width="15.6640625" style="1" customWidth="1"/>
    <col min="11" max="11" width="9.33203125" style="1" customWidth="1"/>
    <col min="12" max="12" width="10.6640625" style="1" customWidth="1"/>
    <col min="13" max="18" width="8.88671875" style="1" customWidth="1"/>
    <col min="19" max="19" width="10.5546875" style="1" customWidth="1"/>
    <col min="20" max="20" width="10.6640625" style="1" customWidth="1"/>
    <col min="21" max="22" width="8.88671875" style="1" customWidth="1"/>
    <col min="23" max="24" width="9.109375" style="1" bestFit="1" customWidth="1"/>
    <col min="25" max="26" width="11.5546875" style="1" bestFit="1" customWidth="1"/>
    <col min="27" max="16384" width="9.109375" style="1"/>
  </cols>
  <sheetData>
    <row r="1" spans="1:26" ht="15.75" customHeight="1">
      <c r="A1" s="23" t="s">
        <v>669</v>
      </c>
      <c r="B1" s="22"/>
      <c r="C1" s="5" t="s">
        <v>38</v>
      </c>
      <c r="D1" s="22"/>
      <c r="E1" s="22"/>
      <c r="F1" s="22"/>
      <c r="G1" s="22"/>
      <c r="H1" s="22"/>
      <c r="I1" s="22"/>
      <c r="J1" s="22"/>
      <c r="K1" s="2"/>
      <c r="L1" s="2"/>
      <c r="M1" s="2"/>
      <c r="N1"/>
      <c r="O1"/>
      <c r="P1"/>
      <c r="Q1"/>
      <c r="R1"/>
      <c r="S1"/>
      <c r="T1"/>
      <c r="U1"/>
      <c r="V1"/>
      <c r="W1"/>
      <c r="X1"/>
      <c r="Y1"/>
      <c r="Z1"/>
    </row>
    <row r="2" spans="1:26" ht="15.75" customHeight="1">
      <c r="A2" s="21"/>
      <c r="B2" s="3"/>
      <c r="C2" s="3"/>
      <c r="D2" s="3"/>
      <c r="E2" s="3"/>
      <c r="F2" s="3"/>
      <c r="G2" s="3"/>
      <c r="H2" s="19"/>
      <c r="I2" s="19"/>
      <c r="J2" s="4"/>
      <c r="K2" s="4"/>
      <c r="L2" s="4"/>
      <c r="M2" s="4"/>
      <c r="N2"/>
      <c r="O2"/>
      <c r="P2"/>
      <c r="Q2"/>
      <c r="R2"/>
      <c r="S2"/>
      <c r="T2"/>
      <c r="U2"/>
      <c r="V2"/>
      <c r="W2"/>
      <c r="X2"/>
      <c r="Y2"/>
      <c r="Z2"/>
    </row>
    <row r="3" spans="1:26">
      <c r="A3" s="1733" t="s">
        <v>1036</v>
      </c>
      <c r="B3" s="1733"/>
      <c r="C3" s="1733"/>
      <c r="D3" s="1733"/>
      <c r="E3" s="1733"/>
      <c r="F3" s="1733"/>
      <c r="G3" s="1733"/>
      <c r="H3" s="1733"/>
      <c r="I3" s="1733"/>
      <c r="J3" s="1733"/>
      <c r="K3" s="1733"/>
      <c r="L3" s="1733"/>
      <c r="M3" s="4"/>
      <c r="W3"/>
      <c r="X3"/>
      <c r="Y3"/>
      <c r="Z3"/>
    </row>
    <row r="4" spans="1:26">
      <c r="A4" s="3"/>
      <c r="B4" s="161"/>
      <c r="C4" s="2"/>
      <c r="D4" s="2"/>
      <c r="E4" s="2"/>
      <c r="F4" s="2"/>
      <c r="G4" s="2"/>
      <c r="H4" s="2"/>
      <c r="I4" s="2"/>
      <c r="J4" s="2"/>
      <c r="K4" s="2"/>
      <c r="L4" s="2"/>
      <c r="M4" s="4"/>
      <c r="N4"/>
      <c r="O4"/>
      <c r="P4"/>
      <c r="Q4"/>
      <c r="R4"/>
      <c r="S4"/>
      <c r="T4"/>
      <c r="U4"/>
      <c r="V4"/>
      <c r="W4"/>
      <c r="X4"/>
      <c r="Y4"/>
      <c r="Z4"/>
    </row>
    <row r="5" spans="1:26">
      <c r="A5" s="3" t="s">
        <v>80</v>
      </c>
      <c r="B5" s="3" t="s">
        <v>1035</v>
      </c>
      <c r="C5" s="3"/>
      <c r="D5" s="3"/>
      <c r="E5" s="3"/>
      <c r="F5" s="3"/>
      <c r="G5" s="3"/>
      <c r="H5" s="3"/>
      <c r="I5" s="2"/>
      <c r="J5" s="2"/>
      <c r="K5" s="2"/>
      <c r="L5" s="2"/>
      <c r="M5" s="4"/>
      <c r="N5"/>
      <c r="O5"/>
      <c r="P5"/>
      <c r="Q5"/>
      <c r="R5"/>
      <c r="S5"/>
      <c r="T5"/>
      <c r="U5"/>
      <c r="V5"/>
      <c r="W5"/>
      <c r="X5"/>
      <c r="Y5"/>
      <c r="Z5"/>
    </row>
    <row r="6" spans="1:26" ht="16.2">
      <c r="A6" s="5"/>
      <c r="B6" s="5" t="s">
        <v>64</v>
      </c>
      <c r="C6" s="5"/>
      <c r="D6" s="4"/>
      <c r="E6" s="4"/>
      <c r="F6" s="3"/>
      <c r="G6" s="3"/>
      <c r="H6" s="3"/>
      <c r="I6" s="2"/>
      <c r="J6" s="2"/>
      <c r="K6" s="2"/>
      <c r="L6" s="2"/>
      <c r="M6" s="2"/>
      <c r="N6"/>
      <c r="O6"/>
      <c r="P6"/>
      <c r="Q6"/>
      <c r="R6"/>
      <c r="S6"/>
      <c r="T6"/>
      <c r="U6"/>
      <c r="V6"/>
      <c r="W6"/>
      <c r="X6"/>
      <c r="Y6"/>
      <c r="Z6"/>
    </row>
    <row r="7" spans="1:26">
      <c r="B7" s="1685" t="s">
        <v>1034</v>
      </c>
      <c r="C7" s="1686"/>
      <c r="D7" s="1686"/>
      <c r="E7" s="1686"/>
      <c r="F7" s="1686"/>
      <c r="G7" s="1686"/>
      <c r="H7" s="1686"/>
      <c r="I7" s="1686"/>
      <c r="J7" s="1686"/>
      <c r="K7" s="1686"/>
      <c r="L7" s="1686"/>
      <c r="M7" s="1686"/>
      <c r="N7"/>
      <c r="O7"/>
      <c r="P7"/>
      <c r="Q7"/>
      <c r="R7"/>
      <c r="S7"/>
      <c r="T7"/>
      <c r="U7"/>
      <c r="V7"/>
      <c r="W7"/>
      <c r="X7"/>
      <c r="Y7"/>
      <c r="Z7"/>
    </row>
    <row r="8" spans="1:26">
      <c r="B8" s="1686"/>
      <c r="C8" s="1686"/>
      <c r="D8" s="1686"/>
      <c r="E8" s="1686"/>
      <c r="F8" s="1686"/>
      <c r="G8" s="1686"/>
      <c r="H8" s="1686"/>
      <c r="I8" s="1686"/>
      <c r="J8" s="1686"/>
      <c r="K8" s="1686"/>
      <c r="L8" s="1686"/>
      <c r="M8" s="1686"/>
      <c r="N8"/>
      <c r="O8"/>
      <c r="P8"/>
      <c r="Q8"/>
      <c r="R8"/>
      <c r="S8"/>
      <c r="T8"/>
      <c r="U8"/>
      <c r="V8"/>
      <c r="W8"/>
      <c r="X8"/>
      <c r="Y8"/>
      <c r="Z8"/>
    </row>
    <row r="9" spans="1:26">
      <c r="B9" s="1686"/>
      <c r="C9" s="1686"/>
      <c r="D9" s="1686"/>
      <c r="E9" s="1686"/>
      <c r="F9" s="1686"/>
      <c r="G9" s="1686"/>
      <c r="H9" s="1686"/>
      <c r="I9" s="1686"/>
      <c r="J9" s="1686"/>
      <c r="K9" s="1686"/>
      <c r="L9" s="1686"/>
      <c r="M9" s="1686"/>
      <c r="N9"/>
      <c r="O9"/>
      <c r="P9"/>
      <c r="Q9"/>
      <c r="R9"/>
      <c r="S9"/>
      <c r="T9"/>
      <c r="U9"/>
      <c r="V9"/>
      <c r="W9"/>
      <c r="X9"/>
      <c r="Y9"/>
      <c r="Z9"/>
    </row>
    <row r="10" spans="1:26">
      <c r="A10" s="3" t="s">
        <v>1033</v>
      </c>
      <c r="B10" s="44"/>
      <c r="C10" s="44"/>
      <c r="D10" s="44"/>
      <c r="E10" s="44"/>
      <c r="F10" s="44"/>
      <c r="G10" s="44"/>
      <c r="H10" s="44"/>
      <c r="I10" s="44"/>
      <c r="J10" s="44"/>
      <c r="K10" s="44"/>
      <c r="L10" s="44"/>
      <c r="M10" s="4"/>
      <c r="N10"/>
      <c r="O10"/>
      <c r="P10"/>
      <c r="Q10"/>
      <c r="R10"/>
      <c r="S10"/>
      <c r="T10"/>
      <c r="U10"/>
      <c r="V10"/>
      <c r="W10"/>
      <c r="X10"/>
      <c r="Y10"/>
      <c r="Z10"/>
    </row>
    <row r="11" spans="1:26">
      <c r="A11" s="3" t="s">
        <v>1032</v>
      </c>
      <c r="B11" s="44"/>
      <c r="C11" s="44"/>
      <c r="D11" s="44"/>
      <c r="E11" s="44"/>
      <c r="F11" s="44"/>
      <c r="G11" s="44"/>
      <c r="H11" s="44"/>
      <c r="I11" s="44"/>
      <c r="J11" s="44"/>
      <c r="K11" s="44"/>
      <c r="L11" s="44"/>
      <c r="M11" s="4"/>
      <c r="N11"/>
      <c r="O11"/>
      <c r="P11"/>
      <c r="Q11"/>
      <c r="R11"/>
      <c r="S11"/>
      <c r="T11"/>
      <c r="U11"/>
      <c r="V11"/>
      <c r="W11"/>
      <c r="X11"/>
      <c r="Y11"/>
      <c r="Z11"/>
    </row>
    <row r="12" spans="1:26">
      <c r="A12" s="3"/>
      <c r="B12" s="44"/>
      <c r="C12" s="44"/>
      <c r="D12" s="44"/>
      <c r="E12" s="44"/>
      <c r="F12" s="44"/>
      <c r="G12" s="44"/>
      <c r="H12" s="44"/>
      <c r="I12" s="44"/>
      <c r="J12" s="44"/>
      <c r="K12" s="44"/>
      <c r="L12" s="44"/>
      <c r="M12" s="4"/>
      <c r="N12"/>
      <c r="O12"/>
      <c r="P12"/>
      <c r="Q12"/>
      <c r="R12"/>
      <c r="S12"/>
      <c r="T12"/>
      <c r="U12"/>
      <c r="V12"/>
      <c r="W12"/>
      <c r="X12"/>
      <c r="Y12"/>
      <c r="Z12"/>
    </row>
    <row r="13" spans="1:26">
      <c r="A13" s="3" t="s">
        <v>1031</v>
      </c>
      <c r="B13" s="44"/>
      <c r="C13" s="44"/>
      <c r="D13" s="44"/>
      <c r="E13" s="44"/>
      <c r="F13" s="44"/>
      <c r="G13" s="44"/>
      <c r="H13" s="44"/>
      <c r="I13" s="44"/>
      <c r="J13" s="44"/>
      <c r="K13" s="44"/>
      <c r="L13" s="44"/>
      <c r="M13" s="4"/>
      <c r="N13"/>
      <c r="O13"/>
      <c r="P13"/>
      <c r="Q13"/>
      <c r="R13"/>
      <c r="S13"/>
      <c r="T13"/>
      <c r="U13"/>
      <c r="V13"/>
      <c r="W13"/>
      <c r="X13"/>
      <c r="Y13"/>
      <c r="Z13"/>
    </row>
    <row r="14" spans="1:26">
      <c r="A14" s="3"/>
      <c r="B14" s="44"/>
      <c r="C14" s="44"/>
      <c r="D14" s="44"/>
      <c r="E14" s="44"/>
      <c r="F14" s="44"/>
      <c r="G14" s="44"/>
      <c r="H14" s="44"/>
      <c r="I14" s="44"/>
      <c r="J14" s="44"/>
      <c r="K14" s="44"/>
      <c r="L14" s="44"/>
      <c r="M14" s="4"/>
      <c r="N14"/>
      <c r="O14"/>
      <c r="P14"/>
      <c r="Q14"/>
      <c r="R14"/>
      <c r="S14"/>
      <c r="T14"/>
      <c r="U14"/>
      <c r="V14"/>
      <c r="W14"/>
      <c r="X14"/>
      <c r="Y14"/>
      <c r="Z14"/>
    </row>
    <row r="15" spans="1:26">
      <c r="A15" s="484" t="s">
        <v>1030</v>
      </c>
      <c r="B15" s="44"/>
      <c r="C15" s="44"/>
      <c r="D15" s="44"/>
      <c r="E15" s="44"/>
      <c r="F15" s="44"/>
      <c r="G15" s="44"/>
      <c r="H15" s="44"/>
      <c r="I15" s="44"/>
      <c r="J15" s="44"/>
      <c r="K15" s="44"/>
      <c r="L15" s="44"/>
      <c r="M15" s="4"/>
      <c r="N15"/>
      <c r="O15"/>
      <c r="P15"/>
      <c r="Q15"/>
      <c r="R15"/>
      <c r="S15"/>
      <c r="T15"/>
      <c r="U15"/>
      <c r="V15"/>
      <c r="W15"/>
      <c r="X15"/>
      <c r="Y15"/>
      <c r="Z15"/>
    </row>
    <row r="16" spans="1:26">
      <c r="A16" s="484" t="s">
        <v>1029</v>
      </c>
      <c r="B16" s="44"/>
      <c r="C16" s="44"/>
      <c r="D16" s="44"/>
      <c r="E16" s="44"/>
      <c r="F16" s="44"/>
      <c r="G16" s="44"/>
      <c r="H16" s="44"/>
      <c r="I16" s="44"/>
      <c r="J16" s="44"/>
      <c r="K16" s="44"/>
      <c r="L16" s="44"/>
      <c r="M16" s="4"/>
      <c r="N16"/>
      <c r="O16"/>
      <c r="P16"/>
      <c r="Q16"/>
      <c r="R16"/>
      <c r="S16"/>
      <c r="T16"/>
      <c r="U16"/>
      <c r="V16"/>
      <c r="W16"/>
      <c r="X16"/>
      <c r="Y16"/>
      <c r="Z16"/>
    </row>
    <row r="17" spans="1:27">
      <c r="A17" s="484" t="s">
        <v>1028</v>
      </c>
      <c r="B17" s="44"/>
      <c r="C17" s="44"/>
      <c r="D17" s="44"/>
      <c r="E17" s="44"/>
      <c r="F17" s="44"/>
      <c r="G17" s="44"/>
      <c r="H17" s="44"/>
      <c r="I17" s="44"/>
      <c r="J17" s="44"/>
      <c r="K17" s="44"/>
      <c r="L17" s="44"/>
      <c r="M17" s="4"/>
      <c r="N17"/>
      <c r="O17"/>
      <c r="P17"/>
      <c r="Q17"/>
      <c r="R17"/>
      <c r="S17"/>
      <c r="T17"/>
      <c r="U17"/>
      <c r="V17"/>
      <c r="W17"/>
      <c r="X17"/>
      <c r="Y17"/>
      <c r="Z17"/>
    </row>
    <row r="18" spans="1:27">
      <c r="A18" s="3"/>
      <c r="B18" s="44"/>
      <c r="C18" s="44"/>
      <c r="D18" s="44"/>
      <c r="E18" s="44"/>
      <c r="F18" s="44"/>
      <c r="G18" s="44"/>
      <c r="H18" s="44"/>
      <c r="I18" s="44"/>
      <c r="J18" s="44"/>
      <c r="K18" s="44"/>
      <c r="L18" s="44"/>
      <c r="M18" s="4"/>
      <c r="N18"/>
      <c r="O18"/>
      <c r="P18"/>
      <c r="Q18"/>
      <c r="R18"/>
      <c r="S18"/>
      <c r="T18"/>
      <c r="U18"/>
      <c r="V18"/>
      <c r="W18"/>
      <c r="X18"/>
      <c r="Y18"/>
      <c r="Z18"/>
    </row>
    <row r="19" spans="1:27">
      <c r="A19" s="3" t="s">
        <v>1027</v>
      </c>
      <c r="B19" s="44"/>
      <c r="C19" s="44"/>
      <c r="D19" s="44"/>
      <c r="E19" s="44"/>
      <c r="F19" s="44"/>
      <c r="G19" s="44"/>
      <c r="H19" s="44"/>
      <c r="I19" s="44"/>
      <c r="J19" s="44"/>
      <c r="K19" s="44"/>
      <c r="L19" s="44"/>
      <c r="M19" s="4"/>
      <c r="N19"/>
      <c r="O19"/>
      <c r="P19"/>
      <c r="Q19"/>
      <c r="R19"/>
      <c r="S19"/>
      <c r="T19"/>
      <c r="U19"/>
      <c r="V19"/>
      <c r="W19"/>
      <c r="X19"/>
      <c r="Y19"/>
      <c r="Z19"/>
    </row>
    <row r="20" spans="1:27">
      <c r="A20" s="3"/>
      <c r="B20" s="44"/>
      <c r="C20" s="44"/>
      <c r="D20" s="44"/>
      <c r="E20" s="44"/>
      <c r="F20" s="44"/>
      <c r="G20" s="44"/>
      <c r="H20" s="44"/>
      <c r="I20" s="44"/>
      <c r="J20" s="44"/>
      <c r="K20" s="44"/>
      <c r="L20" s="44"/>
      <c r="M20" s="4"/>
      <c r="N20"/>
      <c r="O20"/>
      <c r="P20"/>
      <c r="Q20"/>
      <c r="R20"/>
      <c r="S20"/>
      <c r="T20"/>
      <c r="U20"/>
      <c r="V20"/>
      <c r="W20"/>
      <c r="X20"/>
      <c r="Y20"/>
      <c r="Z20"/>
    </row>
    <row r="21" spans="1:27">
      <c r="A21" s="484" t="s">
        <v>1026</v>
      </c>
      <c r="B21" s="44"/>
      <c r="C21" s="44"/>
      <c r="D21" s="44"/>
      <c r="E21" s="44"/>
      <c r="F21" s="44"/>
      <c r="G21" s="44"/>
      <c r="H21" s="44"/>
      <c r="I21" s="44"/>
      <c r="J21" s="44"/>
      <c r="K21" s="44"/>
      <c r="L21" s="44"/>
      <c r="M21" s="4"/>
      <c r="N21"/>
      <c r="O21"/>
      <c r="P21"/>
      <c r="Q21"/>
      <c r="R21"/>
      <c r="S21"/>
      <c r="T21"/>
      <c r="U21"/>
      <c r="V21"/>
      <c r="W21"/>
      <c r="X21"/>
      <c r="Y21"/>
      <c r="Z21"/>
    </row>
    <row r="22" spans="1:27">
      <c r="A22" s="484" t="s">
        <v>1025</v>
      </c>
      <c r="B22" s="44"/>
      <c r="C22" s="44"/>
      <c r="D22" s="44"/>
      <c r="E22" s="44"/>
      <c r="F22" s="44"/>
      <c r="G22" s="44"/>
      <c r="H22" s="44"/>
      <c r="I22" s="44"/>
      <c r="J22" s="44"/>
      <c r="K22" s="44"/>
      <c r="L22" s="44"/>
      <c r="M22" s="4"/>
      <c r="N22"/>
      <c r="O22"/>
      <c r="P22"/>
      <c r="Q22"/>
      <c r="R22"/>
      <c r="S22"/>
      <c r="T22"/>
      <c r="U22"/>
      <c r="V22"/>
      <c r="W22"/>
      <c r="X22"/>
      <c r="Y22"/>
      <c r="Z22"/>
    </row>
    <row r="23" spans="1:27">
      <c r="A23" s="484" t="s">
        <v>1024</v>
      </c>
      <c r="B23" s="44"/>
      <c r="C23" s="44"/>
      <c r="D23" s="44"/>
      <c r="E23" s="44"/>
      <c r="F23" s="44"/>
      <c r="G23" s="44"/>
      <c r="H23" s="44"/>
      <c r="I23" s="44"/>
      <c r="J23" s="44"/>
      <c r="K23" s="44"/>
      <c r="L23" s="44"/>
      <c r="M23" s="4"/>
      <c r="N23"/>
      <c r="O23"/>
      <c r="P23"/>
      <c r="Q23"/>
      <c r="R23"/>
      <c r="S23"/>
      <c r="T23"/>
      <c r="U23"/>
      <c r="V23"/>
      <c r="W23"/>
      <c r="X23"/>
      <c r="Y23"/>
      <c r="Z23"/>
    </row>
    <row r="24" spans="1:27">
      <c r="A24" s="484" t="s">
        <v>1023</v>
      </c>
      <c r="B24" s="44"/>
      <c r="C24" s="44"/>
      <c r="D24" s="44"/>
      <c r="E24" s="44"/>
      <c r="F24" s="44"/>
      <c r="G24" s="44"/>
      <c r="H24" s="44"/>
      <c r="I24" s="44"/>
      <c r="J24" s="44"/>
      <c r="K24" s="44"/>
      <c r="L24" s="44"/>
      <c r="M24" s="4"/>
      <c r="N24"/>
      <c r="O24"/>
      <c r="P24"/>
      <c r="Q24"/>
      <c r="R24"/>
      <c r="S24"/>
      <c r="T24"/>
      <c r="U24"/>
      <c r="V24"/>
      <c r="W24"/>
      <c r="X24"/>
      <c r="Y24"/>
      <c r="Z24"/>
    </row>
    <row r="25" spans="1:27">
      <c r="A25" s="44"/>
      <c r="B25" s="44"/>
      <c r="C25" s="44"/>
      <c r="D25" s="44"/>
      <c r="E25" s="44"/>
      <c r="F25" s="44"/>
      <c r="G25" s="44"/>
      <c r="H25" s="44"/>
      <c r="I25" s="44"/>
      <c r="J25" s="44"/>
      <c r="K25" s="44"/>
      <c r="L25" s="44"/>
      <c r="M25" s="4"/>
      <c r="N25"/>
      <c r="O25"/>
      <c r="P25"/>
      <c r="Q25"/>
      <c r="R25"/>
      <c r="S25"/>
      <c r="T25"/>
      <c r="U25"/>
      <c r="V25"/>
      <c r="W25"/>
      <c r="X25"/>
      <c r="Y25"/>
      <c r="Z25"/>
    </row>
    <row r="26" spans="1:27">
      <c r="A26" s="3" t="s">
        <v>9</v>
      </c>
      <c r="B26" s="3" t="s">
        <v>1022</v>
      </c>
      <c r="C26" s="3"/>
      <c r="D26" s="3"/>
      <c r="E26" s="3"/>
      <c r="F26" s="3"/>
      <c r="G26" s="3"/>
      <c r="H26" s="3"/>
      <c r="I26" s="2"/>
      <c r="J26" s="2"/>
      <c r="K26" s="2"/>
      <c r="L26" s="2"/>
      <c r="M26" s="4"/>
      <c r="N26"/>
      <c r="O26"/>
      <c r="P26"/>
      <c r="Q26"/>
      <c r="R26"/>
      <c r="S26"/>
      <c r="T26"/>
      <c r="U26"/>
      <c r="V26"/>
      <c r="W26"/>
      <c r="X26"/>
      <c r="Y26"/>
      <c r="Z26"/>
    </row>
    <row r="27" spans="1:27" ht="16.2">
      <c r="A27" s="5"/>
      <c r="B27" s="200" t="s">
        <v>1021</v>
      </c>
      <c r="C27" s="200"/>
      <c r="D27" s="199"/>
      <c r="E27" s="199"/>
      <c r="F27" s="198"/>
      <c r="G27" s="198"/>
      <c r="H27" s="3"/>
      <c r="I27" s="2"/>
      <c r="J27" s="2"/>
      <c r="K27" s="2"/>
      <c r="L27" s="2"/>
      <c r="M27" s="4"/>
      <c r="N27"/>
      <c r="O27"/>
      <c r="P27"/>
      <c r="Q27"/>
      <c r="R27"/>
      <c r="S27"/>
      <c r="T27"/>
      <c r="U27"/>
      <c r="V27"/>
      <c r="W27"/>
      <c r="X27"/>
      <c r="Y27"/>
      <c r="Z27"/>
      <c r="AA27"/>
    </row>
    <row r="28" spans="1:27">
      <c r="M28"/>
      <c r="N28"/>
      <c r="O28"/>
      <c r="P28"/>
      <c r="Q28"/>
      <c r="R28"/>
      <c r="S28"/>
      <c r="T28"/>
      <c r="U28"/>
      <c r="V28"/>
      <c r="W28"/>
      <c r="X28"/>
      <c r="Y28"/>
      <c r="Z28"/>
      <c r="AA28"/>
    </row>
    <row r="29" spans="1:27" ht="46.95" customHeight="1">
      <c r="B29" s="777" t="s">
        <v>1020</v>
      </c>
      <c r="C29" s="1818" t="s">
        <v>1019</v>
      </c>
      <c r="D29" s="1818"/>
      <c r="E29" s="1818"/>
      <c r="F29" s="778" t="s">
        <v>1018</v>
      </c>
      <c r="G29" s="1819" t="s">
        <v>1017</v>
      </c>
      <c r="H29" s="1819"/>
      <c r="I29" s="1819"/>
      <c r="J29" s="1819"/>
      <c r="K29" s="777" t="s">
        <v>938</v>
      </c>
      <c r="M29"/>
      <c r="N29"/>
      <c r="O29"/>
      <c r="P29"/>
      <c r="Q29"/>
      <c r="R29"/>
      <c r="S29"/>
      <c r="T29"/>
      <c r="U29"/>
      <c r="V29"/>
      <c r="W29"/>
      <c r="X29"/>
      <c r="Y29"/>
      <c r="Z29"/>
    </row>
    <row r="30" spans="1:27" ht="15.6" customHeight="1">
      <c r="B30" s="1820" t="s">
        <v>950</v>
      </c>
      <c r="C30" s="1821" t="s">
        <v>1016</v>
      </c>
      <c r="D30" s="1821"/>
      <c r="E30" s="1821"/>
      <c r="F30" s="776">
        <v>5</v>
      </c>
      <c r="G30" s="1822"/>
      <c r="H30" s="1822"/>
      <c r="I30" s="1822"/>
      <c r="J30" s="1822"/>
      <c r="K30" s="1823">
        <v>0.3</v>
      </c>
      <c r="M30"/>
      <c r="N30"/>
      <c r="O30"/>
      <c r="P30"/>
      <c r="Q30"/>
      <c r="R30"/>
      <c r="S30"/>
      <c r="T30"/>
      <c r="U30"/>
      <c r="V30"/>
      <c r="W30"/>
      <c r="X30"/>
      <c r="Y30"/>
      <c r="Z30"/>
    </row>
    <row r="31" spans="1:27">
      <c r="B31" s="1820"/>
      <c r="C31" s="1821" t="s">
        <v>1015</v>
      </c>
      <c r="D31" s="1821"/>
      <c r="E31" s="1821"/>
      <c r="F31" s="776">
        <v>1</v>
      </c>
      <c r="G31" s="1822"/>
      <c r="H31" s="1822"/>
      <c r="I31" s="1822"/>
      <c r="J31" s="1822"/>
      <c r="K31" s="1824"/>
      <c r="M31"/>
      <c r="N31"/>
      <c r="O31"/>
      <c r="P31"/>
      <c r="Q31"/>
      <c r="R31"/>
      <c r="S31"/>
      <c r="T31"/>
      <c r="U31"/>
      <c r="V31"/>
      <c r="W31"/>
      <c r="X31"/>
      <c r="Y31"/>
      <c r="Z31"/>
    </row>
    <row r="32" spans="1:27" ht="48" customHeight="1">
      <c r="B32" s="1820" t="s">
        <v>1014</v>
      </c>
      <c r="C32" s="1826" t="s">
        <v>961</v>
      </c>
      <c r="D32" s="1826"/>
      <c r="E32" s="1826"/>
      <c r="F32" s="775">
        <v>1</v>
      </c>
      <c r="G32" s="1826" t="s">
        <v>1013</v>
      </c>
      <c r="H32" s="1826"/>
      <c r="I32" s="1826"/>
      <c r="J32" s="1826"/>
      <c r="K32" s="1823">
        <v>0.4</v>
      </c>
      <c r="M32"/>
      <c r="N32"/>
      <c r="O32"/>
      <c r="P32"/>
      <c r="Q32"/>
      <c r="R32"/>
      <c r="S32"/>
      <c r="T32"/>
      <c r="U32"/>
      <c r="V32"/>
      <c r="W32"/>
      <c r="X32"/>
      <c r="Y32"/>
      <c r="Z32"/>
    </row>
    <row r="33" spans="1:26" ht="33.6" customHeight="1">
      <c r="B33" s="1825"/>
      <c r="C33" s="1826" t="s">
        <v>1012</v>
      </c>
      <c r="D33" s="1826"/>
      <c r="E33" s="1826"/>
      <c r="F33" s="775">
        <v>5</v>
      </c>
      <c r="G33" s="1826" t="s">
        <v>1011</v>
      </c>
      <c r="H33" s="1826"/>
      <c r="I33" s="1826"/>
      <c r="J33" s="1826"/>
      <c r="K33" s="1824"/>
      <c r="M33"/>
      <c r="N33"/>
      <c r="O33"/>
      <c r="P33"/>
      <c r="Q33"/>
      <c r="R33"/>
      <c r="S33"/>
      <c r="T33"/>
      <c r="U33"/>
      <c r="V33"/>
      <c r="W33"/>
      <c r="X33"/>
      <c r="Y33"/>
      <c r="Z33"/>
    </row>
    <row r="34" spans="1:26" ht="32.4" customHeight="1">
      <c r="B34" s="1825" t="s">
        <v>949</v>
      </c>
      <c r="C34" s="1826" t="s">
        <v>1010</v>
      </c>
      <c r="D34" s="1826"/>
      <c r="E34" s="1826"/>
      <c r="F34" s="775">
        <v>5</v>
      </c>
      <c r="G34" s="1826" t="s">
        <v>1009</v>
      </c>
      <c r="H34" s="1826"/>
      <c r="I34" s="1826"/>
      <c r="J34" s="1826"/>
      <c r="K34" s="1823">
        <v>0.3</v>
      </c>
      <c r="M34"/>
      <c r="N34"/>
      <c r="O34"/>
      <c r="P34"/>
      <c r="Q34"/>
      <c r="R34"/>
      <c r="S34"/>
      <c r="T34"/>
      <c r="U34"/>
      <c r="V34"/>
      <c r="W34"/>
      <c r="X34"/>
      <c r="Y34"/>
      <c r="Z34"/>
    </row>
    <row r="35" spans="1:26" ht="31.2" customHeight="1">
      <c r="B35" s="1825"/>
      <c r="C35" s="1826" t="s">
        <v>1008</v>
      </c>
      <c r="D35" s="1826"/>
      <c r="E35" s="1826"/>
      <c r="F35" s="775">
        <v>5</v>
      </c>
      <c r="G35" s="1826" t="s">
        <v>1007</v>
      </c>
      <c r="H35" s="1826"/>
      <c r="I35" s="1826"/>
      <c r="J35" s="1826"/>
      <c r="K35" s="1824"/>
      <c r="M35"/>
      <c r="N35"/>
      <c r="O35"/>
      <c r="P35"/>
      <c r="Q35"/>
      <c r="R35"/>
      <c r="S35"/>
      <c r="T35"/>
      <c r="U35"/>
      <c r="V35"/>
      <c r="W35"/>
      <c r="X35"/>
      <c r="Y35"/>
      <c r="Z35"/>
    </row>
    <row r="36" spans="1:26">
      <c r="M36"/>
      <c r="N36"/>
      <c r="O36"/>
      <c r="P36"/>
      <c r="Q36"/>
      <c r="R36"/>
      <c r="S36"/>
      <c r="T36"/>
      <c r="U36"/>
      <c r="V36"/>
      <c r="W36"/>
      <c r="X36"/>
      <c r="Y36"/>
      <c r="Z36"/>
    </row>
    <row r="37" spans="1:26">
      <c r="A37" s="3" t="s">
        <v>1006</v>
      </c>
      <c r="B37" s="44"/>
      <c r="C37" s="44"/>
      <c r="D37" s="44"/>
      <c r="E37" s="44"/>
      <c r="F37" s="44"/>
      <c r="G37" s="44"/>
      <c r="H37" s="44"/>
      <c r="I37" s="44"/>
      <c r="J37" s="44"/>
      <c r="K37" s="44"/>
      <c r="L37" s="44"/>
      <c r="M37" s="4"/>
      <c r="N37"/>
      <c r="O37"/>
      <c r="P37"/>
      <c r="Q37"/>
      <c r="R37"/>
      <c r="S37"/>
      <c r="T37"/>
      <c r="U37"/>
      <c r="V37"/>
      <c r="W37"/>
      <c r="X37"/>
      <c r="Y37"/>
      <c r="Z37"/>
    </row>
    <row r="38" spans="1:26">
      <c r="A38" s="3"/>
      <c r="B38" s="44"/>
      <c r="C38" s="44"/>
      <c r="D38" s="44"/>
      <c r="E38" s="44"/>
      <c r="F38" s="44"/>
      <c r="G38" s="44"/>
      <c r="H38" s="44"/>
      <c r="I38" s="44"/>
      <c r="J38" s="44"/>
      <c r="K38" s="44"/>
      <c r="L38" s="44"/>
      <c r="M38" s="4"/>
      <c r="N38"/>
      <c r="O38"/>
      <c r="P38"/>
      <c r="Q38"/>
      <c r="R38"/>
      <c r="S38"/>
      <c r="T38"/>
      <c r="U38"/>
      <c r="V38"/>
      <c r="W38"/>
      <c r="X38"/>
      <c r="Y38"/>
      <c r="Z38"/>
    </row>
    <row r="39" spans="1:26" ht="43.2" customHeight="1">
      <c r="A39" s="3"/>
      <c r="B39" s="1671" t="s">
        <v>1005</v>
      </c>
      <c r="C39" s="1671"/>
      <c r="D39" s="1671" t="s">
        <v>845</v>
      </c>
      <c r="E39" s="1671"/>
      <c r="F39" s="44"/>
      <c r="G39" s="44"/>
      <c r="H39" s="44"/>
      <c r="I39" s="44"/>
      <c r="J39" s="44"/>
      <c r="K39" s="44"/>
      <c r="L39" s="44"/>
      <c r="M39" s="4"/>
      <c r="N39"/>
      <c r="O39"/>
      <c r="P39"/>
      <c r="Q39"/>
      <c r="R39"/>
      <c r="S39"/>
      <c r="T39"/>
      <c r="U39"/>
      <c r="V39"/>
      <c r="W39"/>
      <c r="X39"/>
      <c r="Y39"/>
      <c r="Z39"/>
    </row>
    <row r="40" spans="1:26">
      <c r="A40" s="3"/>
      <c r="B40" s="1827" t="s">
        <v>1004</v>
      </c>
      <c r="C40" s="1827"/>
      <c r="D40" s="1828">
        <v>0.125</v>
      </c>
      <c r="E40" s="1828"/>
      <c r="F40" s="44"/>
      <c r="G40" s="44"/>
      <c r="H40" s="44"/>
      <c r="I40" s="44"/>
      <c r="J40" s="44"/>
      <c r="K40" s="44"/>
      <c r="L40" s="44"/>
      <c r="M40" s="4"/>
      <c r="N40"/>
      <c r="O40"/>
      <c r="P40"/>
      <c r="Q40"/>
      <c r="R40"/>
      <c r="S40"/>
      <c r="T40"/>
      <c r="U40"/>
      <c r="V40"/>
      <c r="W40"/>
      <c r="X40"/>
      <c r="Y40"/>
      <c r="Z40"/>
    </row>
    <row r="41" spans="1:26">
      <c r="A41" s="3"/>
      <c r="B41" s="1827" t="s">
        <v>1003</v>
      </c>
      <c r="C41" s="1827"/>
      <c r="D41" s="1828">
        <v>8.5000000000000006E-2</v>
      </c>
      <c r="E41" s="1828"/>
      <c r="F41" s="44"/>
      <c r="G41" s="44"/>
      <c r="H41" s="44"/>
      <c r="I41" s="44"/>
      <c r="J41" s="44"/>
      <c r="K41" s="44"/>
      <c r="L41" s="44"/>
      <c r="M41" s="4"/>
      <c r="N41"/>
      <c r="O41"/>
      <c r="P41"/>
      <c r="Q41"/>
      <c r="R41"/>
      <c r="S41"/>
      <c r="T41"/>
      <c r="U41"/>
      <c r="V41"/>
      <c r="W41"/>
      <c r="X41"/>
      <c r="Y41"/>
      <c r="Z41"/>
    </row>
    <row r="42" spans="1:26">
      <c r="A42" s="3"/>
      <c r="B42" s="1827" t="s">
        <v>1002</v>
      </c>
      <c r="C42" s="1827"/>
      <c r="D42" s="1828">
        <v>6.5000000000000002E-2</v>
      </c>
      <c r="E42" s="1828"/>
      <c r="F42" s="44"/>
      <c r="G42" s="44"/>
      <c r="H42" s="44"/>
      <c r="I42" s="44"/>
      <c r="J42" s="44"/>
      <c r="K42" s="44"/>
      <c r="L42" s="44"/>
      <c r="M42" s="4"/>
      <c r="N42"/>
      <c r="O42"/>
      <c r="P42"/>
      <c r="Q42"/>
      <c r="R42"/>
      <c r="S42"/>
      <c r="T42"/>
      <c r="U42"/>
      <c r="V42"/>
      <c r="W42"/>
      <c r="X42"/>
      <c r="Y42"/>
      <c r="Z42"/>
    </row>
    <row r="43" spans="1:26">
      <c r="A43" s="3"/>
      <c r="B43" s="1827" t="s">
        <v>1001</v>
      </c>
      <c r="C43" s="1827"/>
      <c r="D43" s="1828">
        <v>5.5E-2</v>
      </c>
      <c r="E43" s="1828"/>
      <c r="F43" s="44"/>
      <c r="G43" s="44"/>
      <c r="H43" s="44"/>
      <c r="I43" s="44"/>
      <c r="J43" s="44"/>
      <c r="K43" s="44"/>
      <c r="L43" s="44"/>
      <c r="M43" s="4"/>
      <c r="N43"/>
      <c r="O43"/>
      <c r="P43"/>
      <c r="Q43"/>
      <c r="R43"/>
      <c r="S43"/>
      <c r="T43"/>
      <c r="U43"/>
      <c r="V43"/>
      <c r="W43"/>
      <c r="X43"/>
      <c r="Y43"/>
      <c r="Z43"/>
    </row>
    <row r="44" spans="1:26">
      <c r="A44" s="3"/>
      <c r="B44" s="44"/>
      <c r="C44" s="44"/>
      <c r="D44" s="44"/>
      <c r="E44" s="44"/>
      <c r="F44" s="44"/>
      <c r="G44" s="44"/>
      <c r="H44" s="44"/>
      <c r="I44" s="44"/>
      <c r="J44" s="44"/>
      <c r="K44" s="44"/>
      <c r="L44" s="44"/>
      <c r="M44" s="4"/>
      <c r="N44"/>
      <c r="O44"/>
      <c r="P44"/>
      <c r="Q44"/>
      <c r="R44"/>
      <c r="S44"/>
      <c r="T44"/>
      <c r="U44"/>
      <c r="V44"/>
      <c r="W44"/>
      <c r="X44"/>
      <c r="Y44"/>
      <c r="Z44"/>
    </row>
    <row r="45" spans="1:26">
      <c r="A45" s="214" t="s">
        <v>7</v>
      </c>
      <c r="B45" s="1655" t="s">
        <v>1000</v>
      </c>
      <c r="C45" s="1655"/>
      <c r="D45" s="1655"/>
      <c r="E45" s="1655"/>
      <c r="F45" s="1655"/>
      <c r="G45" s="1655"/>
      <c r="H45" s="1655"/>
      <c r="I45" s="1655"/>
      <c r="J45" s="1655"/>
      <c r="K45" s="1655"/>
      <c r="L45" s="1655"/>
      <c r="M45" s="2"/>
      <c r="N45"/>
      <c r="O45"/>
      <c r="P45"/>
      <c r="Q45"/>
      <c r="R45"/>
      <c r="S45"/>
      <c r="T45"/>
      <c r="U45"/>
      <c r="V45"/>
      <c r="W45"/>
      <c r="X45"/>
      <c r="Y45"/>
      <c r="Z45"/>
    </row>
    <row r="46" spans="1:26" ht="16.2">
      <c r="A46" s="5"/>
      <c r="B46" s="5" t="s">
        <v>64</v>
      </c>
      <c r="C46" s="5"/>
      <c r="D46" s="4"/>
      <c r="E46" s="4"/>
      <c r="F46" s="3"/>
      <c r="G46" s="3"/>
      <c r="H46" s="3"/>
      <c r="I46" s="2"/>
      <c r="J46" s="2"/>
      <c r="K46" s="2"/>
      <c r="L46" s="2"/>
      <c r="M46" s="2"/>
      <c r="N46"/>
      <c r="O46"/>
      <c r="P46"/>
      <c r="Q46"/>
      <c r="R46"/>
      <c r="S46"/>
      <c r="T46"/>
      <c r="U46"/>
      <c r="V46"/>
      <c r="W46"/>
      <c r="X46"/>
      <c r="Y46"/>
      <c r="Z46"/>
    </row>
    <row r="47" spans="1:26">
      <c r="N47"/>
      <c r="O47"/>
      <c r="P47"/>
      <c r="Q47"/>
      <c r="R47"/>
      <c r="S47"/>
      <c r="T47"/>
      <c r="U47"/>
      <c r="V47"/>
      <c r="W47"/>
      <c r="X47"/>
      <c r="Y47"/>
      <c r="Z47"/>
    </row>
    <row r="48" spans="1:26">
      <c r="B48" s="1" t="s">
        <v>999</v>
      </c>
      <c r="D48" s="1">
        <f>K30*AVERAGE(F30:F31)+K32*AVERAGE(F32:F33)+K34*AVERAGE(F34:F35)</f>
        <v>3.6</v>
      </c>
      <c r="N48"/>
      <c r="O48"/>
      <c r="P48"/>
      <c r="Q48"/>
      <c r="R48"/>
      <c r="S48"/>
      <c r="T48"/>
      <c r="U48"/>
      <c r="V48"/>
      <c r="W48"/>
      <c r="X48"/>
      <c r="Y48"/>
      <c r="Z48"/>
    </row>
    <row r="49" spans="2:26">
      <c r="B49" s="1" t="s">
        <v>845</v>
      </c>
      <c r="D49" s="774">
        <v>6.5000000000000002E-2</v>
      </c>
      <c r="E49" s="1" t="s">
        <v>998</v>
      </c>
      <c r="N49"/>
      <c r="O49"/>
      <c r="P49"/>
      <c r="Q49"/>
      <c r="R49"/>
      <c r="S49"/>
      <c r="T49"/>
      <c r="U49"/>
      <c r="V49"/>
      <c r="W49"/>
      <c r="X49"/>
      <c r="Y49"/>
      <c r="Z49"/>
    </row>
    <row r="50" spans="2:26">
      <c r="M50"/>
      <c r="N50"/>
      <c r="O50"/>
      <c r="P50"/>
      <c r="Q50"/>
      <c r="R50"/>
      <c r="S50"/>
      <c r="T50"/>
      <c r="U50"/>
      <c r="V50"/>
      <c r="W50"/>
      <c r="X50"/>
      <c r="Y50"/>
      <c r="Z50"/>
    </row>
    <row r="51" spans="2:26">
      <c r="M51"/>
      <c r="N51"/>
      <c r="O51"/>
      <c r="P51"/>
      <c r="Q51"/>
      <c r="R51"/>
      <c r="S51"/>
      <c r="T51"/>
      <c r="U51"/>
      <c r="V51"/>
      <c r="W51"/>
      <c r="X51"/>
      <c r="Y51"/>
      <c r="Z51"/>
    </row>
    <row r="52" spans="2:26">
      <c r="M52"/>
      <c r="N52"/>
      <c r="O52"/>
      <c r="P52"/>
      <c r="Q52"/>
      <c r="R52"/>
      <c r="S52"/>
      <c r="T52"/>
      <c r="U52"/>
      <c r="V52"/>
      <c r="W52"/>
      <c r="X52"/>
      <c r="Y52"/>
      <c r="Z52"/>
    </row>
    <row r="53" spans="2:26">
      <c r="M53"/>
      <c r="N53"/>
      <c r="O53"/>
      <c r="P53"/>
      <c r="Q53"/>
      <c r="R53"/>
      <c r="S53"/>
      <c r="T53"/>
      <c r="U53"/>
      <c r="V53"/>
      <c r="W53"/>
      <c r="X53"/>
      <c r="Y53"/>
      <c r="Z53"/>
    </row>
    <row r="54" spans="2:26">
      <c r="M54"/>
      <c r="N54"/>
      <c r="O54"/>
      <c r="P54"/>
      <c r="Q54"/>
      <c r="R54"/>
      <c r="S54"/>
      <c r="T54"/>
      <c r="U54"/>
      <c r="V54"/>
      <c r="W54"/>
      <c r="X54"/>
      <c r="Y54"/>
      <c r="Z54"/>
    </row>
    <row r="55" spans="2:26">
      <c r="M55"/>
      <c r="N55"/>
      <c r="O55"/>
      <c r="P55"/>
      <c r="Q55"/>
      <c r="R55"/>
      <c r="S55"/>
      <c r="T55"/>
      <c r="U55"/>
      <c r="V55"/>
      <c r="W55"/>
      <c r="X55"/>
      <c r="Y55"/>
      <c r="Z55"/>
    </row>
    <row r="56" spans="2:26">
      <c r="M56"/>
      <c r="N56"/>
      <c r="O56"/>
      <c r="P56"/>
      <c r="Q56"/>
      <c r="R56"/>
      <c r="S56"/>
      <c r="T56"/>
      <c r="U56"/>
      <c r="V56"/>
      <c r="W56"/>
      <c r="X56"/>
      <c r="Y56"/>
      <c r="Z56"/>
    </row>
    <row r="57" spans="2:26">
      <c r="M57"/>
      <c r="N57"/>
      <c r="O57"/>
      <c r="P57"/>
      <c r="Q57"/>
      <c r="R57"/>
      <c r="S57"/>
      <c r="T57"/>
      <c r="U57"/>
      <c r="V57"/>
      <c r="W57"/>
      <c r="X57"/>
      <c r="Y57"/>
      <c r="Z57"/>
    </row>
    <row r="58" spans="2:26">
      <c r="M58"/>
      <c r="N58"/>
      <c r="O58"/>
      <c r="P58"/>
      <c r="Q58"/>
      <c r="R58"/>
      <c r="S58"/>
      <c r="T58"/>
      <c r="U58"/>
      <c r="V58"/>
      <c r="W58"/>
      <c r="X58"/>
      <c r="Y58"/>
      <c r="Z58"/>
    </row>
    <row r="59" spans="2:26">
      <c r="M59"/>
      <c r="N59"/>
      <c r="O59"/>
      <c r="P59"/>
      <c r="Q59"/>
      <c r="R59"/>
      <c r="S59"/>
      <c r="T59"/>
      <c r="U59"/>
      <c r="V59"/>
      <c r="W59"/>
      <c r="X59"/>
      <c r="Y59"/>
      <c r="Z59"/>
    </row>
    <row r="60" spans="2:26">
      <c r="M60"/>
      <c r="N60"/>
      <c r="O60"/>
      <c r="P60"/>
      <c r="Q60"/>
      <c r="R60"/>
      <c r="S60"/>
      <c r="T60"/>
      <c r="U60"/>
      <c r="V60"/>
      <c r="W60"/>
      <c r="X60"/>
      <c r="Y60"/>
      <c r="Z60"/>
    </row>
    <row r="61" spans="2:26">
      <c r="M61"/>
      <c r="N61"/>
      <c r="O61"/>
      <c r="P61"/>
      <c r="Q61"/>
      <c r="R61"/>
      <c r="S61"/>
      <c r="T61"/>
      <c r="U61"/>
      <c r="V61"/>
      <c r="W61"/>
      <c r="X61"/>
      <c r="Y61"/>
      <c r="Z61"/>
    </row>
    <row r="62" spans="2:26">
      <c r="M62"/>
      <c r="N62"/>
      <c r="O62"/>
      <c r="P62"/>
      <c r="Q62"/>
      <c r="R62"/>
      <c r="S62"/>
      <c r="T62"/>
      <c r="U62"/>
      <c r="V62"/>
      <c r="W62"/>
      <c r="X62"/>
      <c r="Y62"/>
      <c r="Z62"/>
    </row>
    <row r="63" spans="2:26">
      <c r="M63"/>
      <c r="N63"/>
      <c r="O63"/>
      <c r="P63"/>
      <c r="Q63"/>
      <c r="R63"/>
      <c r="S63"/>
      <c r="T63"/>
      <c r="U63"/>
      <c r="V63"/>
      <c r="W63"/>
      <c r="X63"/>
      <c r="Y63"/>
      <c r="Z63"/>
    </row>
    <row r="64" spans="2:26">
      <c r="M64"/>
      <c r="N64"/>
      <c r="O64"/>
      <c r="P64"/>
      <c r="Q64"/>
      <c r="R64"/>
      <c r="S64"/>
      <c r="T64"/>
      <c r="U64"/>
      <c r="V64"/>
      <c r="W64"/>
      <c r="X64"/>
      <c r="Y64"/>
      <c r="Z64"/>
    </row>
    <row r="65" spans="13:26">
      <c r="M65"/>
      <c r="N65"/>
      <c r="O65"/>
      <c r="P65"/>
      <c r="Q65"/>
      <c r="R65"/>
      <c r="S65"/>
      <c r="T65"/>
      <c r="U65"/>
      <c r="V65"/>
      <c r="W65"/>
      <c r="X65"/>
      <c r="Y65"/>
      <c r="Z65"/>
    </row>
    <row r="66" spans="13:26">
      <c r="M66"/>
      <c r="N66"/>
      <c r="O66"/>
      <c r="P66"/>
      <c r="Q66"/>
      <c r="R66"/>
      <c r="S66"/>
      <c r="T66"/>
      <c r="U66"/>
      <c r="V66"/>
      <c r="W66"/>
      <c r="X66"/>
      <c r="Y66"/>
      <c r="Z66"/>
    </row>
    <row r="67" spans="13:26">
      <c r="M67"/>
      <c r="N67"/>
      <c r="O67"/>
      <c r="P67"/>
      <c r="Q67"/>
      <c r="R67"/>
      <c r="S67"/>
      <c r="T67"/>
      <c r="U67"/>
      <c r="V67"/>
      <c r="W67"/>
      <c r="X67"/>
      <c r="Y67"/>
      <c r="Z67"/>
    </row>
    <row r="68" spans="13:26">
      <c r="M68"/>
      <c r="N68"/>
      <c r="O68"/>
      <c r="P68"/>
      <c r="Q68"/>
      <c r="R68"/>
      <c r="S68"/>
      <c r="T68"/>
      <c r="U68"/>
      <c r="V68"/>
      <c r="W68"/>
      <c r="X68"/>
      <c r="Y68"/>
      <c r="Z68"/>
    </row>
    <row r="69" spans="13:26">
      <c r="M69"/>
      <c r="N69"/>
      <c r="O69"/>
      <c r="P69"/>
      <c r="Q69"/>
      <c r="R69"/>
      <c r="S69"/>
      <c r="T69"/>
      <c r="U69"/>
      <c r="V69"/>
      <c r="W69"/>
      <c r="X69"/>
      <c r="Y69"/>
      <c r="Z69"/>
    </row>
    <row r="70" spans="13:26">
      <c r="M70"/>
      <c r="N70"/>
      <c r="O70"/>
      <c r="P70"/>
      <c r="Q70"/>
      <c r="R70"/>
      <c r="S70"/>
      <c r="T70"/>
      <c r="U70"/>
      <c r="V70"/>
      <c r="W70"/>
      <c r="X70"/>
      <c r="Y70"/>
      <c r="Z70"/>
    </row>
    <row r="71" spans="13:26">
      <c r="M71"/>
      <c r="N71"/>
      <c r="O71"/>
      <c r="P71"/>
      <c r="Q71"/>
      <c r="R71"/>
      <c r="S71"/>
      <c r="T71"/>
      <c r="U71"/>
      <c r="V71"/>
      <c r="W71"/>
      <c r="X71"/>
      <c r="Y71"/>
      <c r="Z71"/>
    </row>
    <row r="72" spans="13:26">
      <c r="M72"/>
      <c r="N72"/>
      <c r="O72"/>
      <c r="P72"/>
      <c r="Q72"/>
      <c r="R72"/>
      <c r="S72"/>
      <c r="T72"/>
      <c r="U72"/>
      <c r="V72"/>
      <c r="W72"/>
      <c r="X72"/>
      <c r="Y72"/>
      <c r="Z72"/>
    </row>
    <row r="73" spans="13:26">
      <c r="M73"/>
      <c r="N73"/>
      <c r="O73"/>
      <c r="P73"/>
      <c r="Q73"/>
      <c r="R73"/>
      <c r="S73"/>
      <c r="T73"/>
      <c r="U73"/>
      <c r="V73"/>
      <c r="W73"/>
      <c r="X73"/>
      <c r="Y73"/>
      <c r="Z73"/>
    </row>
    <row r="74" spans="13:26">
      <c r="M74"/>
      <c r="N74"/>
      <c r="O74"/>
      <c r="P74"/>
      <c r="Q74"/>
      <c r="R74"/>
      <c r="S74"/>
      <c r="T74"/>
      <c r="U74"/>
      <c r="V74"/>
      <c r="W74"/>
      <c r="X74"/>
      <c r="Y74"/>
      <c r="Z74"/>
    </row>
    <row r="75" spans="13:26">
      <c r="M75"/>
      <c r="N75"/>
      <c r="O75"/>
      <c r="P75"/>
      <c r="Q75"/>
      <c r="R75"/>
      <c r="S75"/>
      <c r="T75"/>
      <c r="U75"/>
      <c r="V75"/>
      <c r="W75"/>
      <c r="X75"/>
      <c r="Y75"/>
      <c r="Z75"/>
    </row>
    <row r="76" spans="13:26">
      <c r="M76"/>
      <c r="N76"/>
      <c r="O76"/>
      <c r="P76"/>
      <c r="Q76"/>
      <c r="R76"/>
      <c r="S76"/>
      <c r="T76"/>
      <c r="U76"/>
      <c r="V76"/>
      <c r="W76"/>
      <c r="X76"/>
      <c r="Y76"/>
      <c r="Z76"/>
    </row>
    <row r="77" spans="13:26">
      <c r="M77"/>
      <c r="N77"/>
      <c r="O77"/>
      <c r="P77"/>
      <c r="Q77"/>
      <c r="R77"/>
      <c r="S77"/>
      <c r="T77"/>
      <c r="U77"/>
      <c r="V77"/>
      <c r="W77"/>
      <c r="X77"/>
      <c r="Y77"/>
      <c r="Z77"/>
    </row>
    <row r="78" spans="13:26">
      <c r="M78"/>
      <c r="N78"/>
      <c r="O78"/>
      <c r="P78"/>
      <c r="Q78"/>
      <c r="R78"/>
      <c r="S78"/>
      <c r="T78"/>
      <c r="U78"/>
      <c r="V78"/>
      <c r="W78"/>
      <c r="X78"/>
      <c r="Y78"/>
      <c r="Z78"/>
    </row>
    <row r="79" spans="13:26">
      <c r="M79"/>
      <c r="N79"/>
      <c r="O79"/>
      <c r="P79"/>
      <c r="Q79"/>
      <c r="R79"/>
      <c r="S79"/>
      <c r="T79"/>
      <c r="U79"/>
      <c r="V79"/>
      <c r="W79"/>
      <c r="X79"/>
      <c r="Y79"/>
      <c r="Z79"/>
    </row>
    <row r="80" spans="13:26">
      <c r="M80"/>
      <c r="N80"/>
      <c r="O80"/>
      <c r="P80"/>
      <c r="Q80"/>
      <c r="R80"/>
      <c r="S80"/>
      <c r="T80"/>
      <c r="U80"/>
      <c r="V80"/>
      <c r="W80"/>
      <c r="X80"/>
      <c r="Y80"/>
      <c r="Z80"/>
    </row>
    <row r="81" spans="13:26">
      <c r="M81"/>
      <c r="N81"/>
      <c r="O81"/>
      <c r="P81"/>
      <c r="Q81"/>
      <c r="R81"/>
      <c r="S81"/>
      <c r="T81"/>
      <c r="U81"/>
      <c r="V81"/>
      <c r="W81"/>
      <c r="X81"/>
      <c r="Y81"/>
      <c r="Z81"/>
    </row>
    <row r="82" spans="13:26">
      <c r="M82"/>
      <c r="N82"/>
      <c r="O82"/>
      <c r="P82"/>
      <c r="Q82"/>
      <c r="R82"/>
      <c r="S82"/>
      <c r="T82"/>
      <c r="U82"/>
      <c r="V82"/>
      <c r="W82"/>
      <c r="X82"/>
      <c r="Y82"/>
      <c r="Z82"/>
    </row>
    <row r="83" spans="13:26">
      <c r="M83"/>
      <c r="N83"/>
      <c r="O83"/>
      <c r="P83"/>
      <c r="Q83"/>
      <c r="R83"/>
      <c r="S83"/>
      <c r="T83"/>
      <c r="U83"/>
      <c r="V83"/>
      <c r="W83"/>
      <c r="X83"/>
      <c r="Y83"/>
      <c r="Z83"/>
    </row>
    <row r="84" spans="13:26">
      <c r="M84"/>
      <c r="N84"/>
      <c r="O84"/>
      <c r="P84"/>
      <c r="Q84"/>
      <c r="R84"/>
      <c r="S84"/>
      <c r="T84"/>
      <c r="U84"/>
      <c r="V84"/>
      <c r="W84"/>
      <c r="X84"/>
      <c r="Y84"/>
      <c r="Z84"/>
    </row>
    <row r="85" spans="13:26">
      <c r="M85"/>
      <c r="N85"/>
      <c r="O85"/>
      <c r="P85"/>
      <c r="Q85"/>
      <c r="R85"/>
      <c r="S85"/>
      <c r="T85"/>
      <c r="U85"/>
      <c r="V85"/>
      <c r="W85"/>
      <c r="X85"/>
      <c r="Y85"/>
      <c r="Z85"/>
    </row>
    <row r="86" spans="13:26">
      <c r="M86"/>
      <c r="N86"/>
      <c r="O86"/>
      <c r="P86"/>
      <c r="Q86"/>
      <c r="R86"/>
      <c r="S86"/>
      <c r="T86"/>
      <c r="U86"/>
      <c r="V86"/>
      <c r="W86"/>
      <c r="X86"/>
      <c r="Y86"/>
      <c r="Z86"/>
    </row>
    <row r="87" spans="13:26">
      <c r="M87"/>
      <c r="N87"/>
      <c r="O87"/>
      <c r="P87"/>
      <c r="Q87"/>
      <c r="R87"/>
      <c r="S87"/>
      <c r="T87"/>
      <c r="U87"/>
      <c r="V87"/>
      <c r="W87"/>
      <c r="X87"/>
      <c r="Y87"/>
      <c r="Z87"/>
    </row>
    <row r="88" spans="13:26">
      <c r="M88"/>
      <c r="N88"/>
      <c r="O88"/>
      <c r="P88"/>
      <c r="Q88"/>
      <c r="R88"/>
      <c r="S88"/>
      <c r="T88"/>
      <c r="U88"/>
      <c r="V88"/>
      <c r="W88"/>
      <c r="X88"/>
      <c r="Y88"/>
      <c r="Z88"/>
    </row>
    <row r="89" spans="13:26">
      <c r="M89"/>
      <c r="N89"/>
      <c r="O89"/>
      <c r="P89"/>
      <c r="Q89"/>
      <c r="R89"/>
      <c r="S89"/>
      <c r="T89"/>
      <c r="U89"/>
      <c r="V89"/>
      <c r="W89"/>
      <c r="X89"/>
      <c r="Y89"/>
      <c r="Z89"/>
    </row>
    <row r="90" spans="13:26">
      <c r="M90"/>
      <c r="N90"/>
      <c r="O90"/>
      <c r="P90"/>
      <c r="Q90"/>
      <c r="R90"/>
      <c r="S90"/>
      <c r="T90"/>
      <c r="U90"/>
      <c r="V90"/>
      <c r="W90"/>
      <c r="X90"/>
      <c r="Y90"/>
      <c r="Z90"/>
    </row>
    <row r="91" spans="13:26">
      <c r="M91"/>
      <c r="N91"/>
      <c r="O91"/>
      <c r="P91"/>
      <c r="Q91"/>
      <c r="R91"/>
      <c r="S91"/>
      <c r="T91"/>
      <c r="U91"/>
      <c r="V91"/>
      <c r="W91"/>
      <c r="X91"/>
      <c r="Y91"/>
      <c r="Z91"/>
    </row>
    <row r="92" spans="13:26">
      <c r="M92"/>
      <c r="N92"/>
      <c r="O92"/>
      <c r="P92"/>
      <c r="Q92"/>
      <c r="R92"/>
      <c r="S92"/>
      <c r="T92"/>
      <c r="U92"/>
      <c r="V92"/>
      <c r="W92"/>
      <c r="X92"/>
      <c r="Y92"/>
      <c r="Z92"/>
    </row>
    <row r="93" spans="13:26">
      <c r="M93"/>
      <c r="N93"/>
      <c r="O93"/>
      <c r="P93"/>
      <c r="Q93"/>
      <c r="R93"/>
      <c r="S93"/>
      <c r="T93"/>
      <c r="U93"/>
      <c r="V93"/>
      <c r="W93"/>
      <c r="X93"/>
      <c r="Y93"/>
      <c r="Z93"/>
    </row>
    <row r="94" spans="13:26">
      <c r="M94"/>
      <c r="N94"/>
      <c r="O94"/>
      <c r="P94"/>
      <c r="Q94"/>
      <c r="R94"/>
      <c r="S94"/>
      <c r="T94"/>
      <c r="U94"/>
      <c r="V94"/>
      <c r="W94"/>
      <c r="X94"/>
      <c r="Y94"/>
      <c r="Z94"/>
    </row>
    <row r="95" spans="13:26">
      <c r="M95"/>
      <c r="N95"/>
      <c r="O95"/>
      <c r="P95"/>
      <c r="Q95"/>
      <c r="R95"/>
      <c r="S95"/>
      <c r="T95"/>
      <c r="U95"/>
      <c r="V95"/>
      <c r="W95"/>
      <c r="X95"/>
      <c r="Y95"/>
      <c r="Z95"/>
    </row>
    <row r="96" spans="13:26">
      <c r="M96"/>
      <c r="N96"/>
      <c r="O96"/>
      <c r="P96"/>
      <c r="Q96"/>
      <c r="R96"/>
      <c r="S96"/>
      <c r="T96"/>
      <c r="U96"/>
      <c r="V96"/>
      <c r="W96"/>
      <c r="X96"/>
      <c r="Y96"/>
      <c r="Z96"/>
    </row>
    <row r="97" spans="1:26">
      <c r="M97"/>
      <c r="N97"/>
      <c r="O97"/>
      <c r="P97"/>
      <c r="Q97"/>
      <c r="R97"/>
      <c r="S97"/>
      <c r="T97"/>
      <c r="U97"/>
      <c r="V97"/>
      <c r="W97"/>
      <c r="X97"/>
      <c r="Y97"/>
      <c r="Z97"/>
    </row>
    <row r="98" spans="1:26">
      <c r="M98"/>
      <c r="N98"/>
      <c r="O98"/>
      <c r="P98"/>
      <c r="Q98"/>
      <c r="R98"/>
      <c r="S98"/>
      <c r="T98"/>
      <c r="U98"/>
      <c r="V98"/>
      <c r="W98"/>
      <c r="X98"/>
      <c r="Y98"/>
      <c r="Z98"/>
    </row>
    <row r="99" spans="1:26">
      <c r="M99"/>
      <c r="N99"/>
      <c r="O99"/>
      <c r="P99"/>
      <c r="Q99"/>
      <c r="R99"/>
      <c r="S99"/>
      <c r="T99"/>
      <c r="U99"/>
      <c r="V99"/>
      <c r="W99"/>
      <c r="X99"/>
      <c r="Y99"/>
      <c r="Z99"/>
    </row>
    <row r="100" spans="1:26">
      <c r="M100"/>
      <c r="N100"/>
      <c r="O100"/>
      <c r="P100"/>
      <c r="Q100"/>
      <c r="R100"/>
      <c r="S100"/>
      <c r="T100"/>
      <c r="U100"/>
      <c r="V100"/>
      <c r="W100"/>
      <c r="X100"/>
      <c r="Y100"/>
      <c r="Z100"/>
    </row>
    <row r="101" spans="1:26">
      <c r="M101"/>
      <c r="N101"/>
      <c r="O101"/>
      <c r="P101"/>
      <c r="Q101"/>
      <c r="R101"/>
      <c r="S101"/>
      <c r="T101"/>
      <c r="U101"/>
      <c r="V101"/>
      <c r="W101"/>
      <c r="X101"/>
      <c r="Y101"/>
      <c r="Z101"/>
    </row>
    <row r="102" spans="1:26">
      <c r="M102"/>
      <c r="N102"/>
      <c r="O102"/>
      <c r="P102"/>
      <c r="Q102"/>
      <c r="R102"/>
      <c r="S102"/>
      <c r="T102"/>
      <c r="U102"/>
      <c r="V102"/>
      <c r="W102"/>
      <c r="X102"/>
      <c r="Y102"/>
      <c r="Z102"/>
    </row>
    <row r="103" spans="1:26">
      <c r="M103"/>
      <c r="N103"/>
      <c r="O103"/>
      <c r="P103"/>
      <c r="Q103"/>
      <c r="R103"/>
      <c r="S103"/>
      <c r="T103"/>
      <c r="U103"/>
      <c r="V103"/>
      <c r="W103"/>
      <c r="X103"/>
      <c r="Y103"/>
      <c r="Z103"/>
    </row>
    <row r="104" spans="1:26">
      <c r="M104"/>
      <c r="N104"/>
      <c r="O104"/>
      <c r="P104"/>
      <c r="Q104"/>
      <c r="R104"/>
      <c r="S104"/>
      <c r="T104"/>
      <c r="U104"/>
      <c r="V104"/>
      <c r="W104"/>
      <c r="X104"/>
      <c r="Y104"/>
      <c r="Z104"/>
    </row>
    <row r="105" spans="1:26">
      <c r="M105"/>
      <c r="N105"/>
      <c r="O105"/>
      <c r="P105"/>
      <c r="Q105"/>
      <c r="R105"/>
      <c r="S105"/>
      <c r="T105"/>
      <c r="U105"/>
      <c r="V105"/>
      <c r="W105"/>
      <c r="X105"/>
      <c r="Y105"/>
      <c r="Z105"/>
    </row>
    <row r="112" spans="1:26">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row>
    <row r="123" spans="1:12">
      <c r="A123"/>
      <c r="B123"/>
      <c r="C123"/>
      <c r="D123"/>
      <c r="E123"/>
      <c r="F123"/>
      <c r="G123"/>
      <c r="H123"/>
      <c r="I123"/>
    </row>
    <row r="124" spans="1:12">
      <c r="A124"/>
      <c r="B124"/>
      <c r="C124"/>
      <c r="D124"/>
      <c r="E124"/>
      <c r="F124"/>
      <c r="G124"/>
      <c r="H124"/>
      <c r="I124"/>
    </row>
    <row r="125" spans="1:12">
      <c r="A125"/>
      <c r="B125"/>
      <c r="C125"/>
      <c r="D125"/>
      <c r="E125"/>
      <c r="F125"/>
      <c r="G125"/>
      <c r="H125"/>
      <c r="I125"/>
    </row>
    <row r="126" spans="1:12">
      <c r="A126"/>
      <c r="B126"/>
      <c r="C126"/>
      <c r="D126"/>
      <c r="E126"/>
      <c r="F126"/>
      <c r="G126"/>
      <c r="H126"/>
      <c r="I126"/>
    </row>
    <row r="127" spans="1:12">
      <c r="A127"/>
      <c r="B127"/>
      <c r="C127"/>
      <c r="D127"/>
      <c r="E127"/>
      <c r="F127"/>
      <c r="G127"/>
      <c r="H127"/>
      <c r="I127"/>
    </row>
    <row r="128" spans="1:12">
      <c r="A128"/>
      <c r="B128"/>
      <c r="C128"/>
      <c r="D128"/>
      <c r="E128"/>
      <c r="F128"/>
      <c r="G128"/>
      <c r="H128"/>
      <c r="I128"/>
    </row>
    <row r="129" spans="1:9">
      <c r="A129"/>
      <c r="B129"/>
      <c r="C129"/>
      <c r="D129"/>
      <c r="E129"/>
      <c r="F129"/>
      <c r="G129"/>
      <c r="H129"/>
      <c r="I129"/>
    </row>
    <row r="130" spans="1:9">
      <c r="A130"/>
      <c r="B130"/>
      <c r="C130"/>
      <c r="D130"/>
      <c r="E130"/>
      <c r="F130"/>
      <c r="G130"/>
      <c r="H130"/>
      <c r="I130"/>
    </row>
    <row r="131" spans="1:9">
      <c r="A131"/>
      <c r="B131"/>
      <c r="C131"/>
      <c r="D131"/>
      <c r="E131"/>
      <c r="F131"/>
      <c r="G131"/>
      <c r="H131"/>
      <c r="I131"/>
    </row>
    <row r="132" spans="1:9">
      <c r="A132"/>
      <c r="B132"/>
      <c r="C132"/>
      <c r="D132"/>
      <c r="E132"/>
      <c r="F132"/>
      <c r="G132"/>
      <c r="H132"/>
      <c r="I132"/>
    </row>
    <row r="133" spans="1:9">
      <c r="A133"/>
      <c r="B133"/>
      <c r="C133"/>
      <c r="D133"/>
      <c r="E133"/>
      <c r="F133"/>
      <c r="G133"/>
      <c r="H133"/>
      <c r="I133"/>
    </row>
    <row r="134" spans="1:9">
      <c r="A134"/>
      <c r="B134"/>
      <c r="C134"/>
      <c r="D134"/>
      <c r="E134"/>
      <c r="F134"/>
      <c r="G134"/>
      <c r="H134"/>
      <c r="I134"/>
    </row>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sheetData>
  <mergeCells count="33">
    <mergeCell ref="B42:C42"/>
    <mergeCell ref="D42:E42"/>
    <mergeCell ref="B43:C43"/>
    <mergeCell ref="D43:E43"/>
    <mergeCell ref="B45:L45"/>
    <mergeCell ref="B39:C39"/>
    <mergeCell ref="D39:E39"/>
    <mergeCell ref="B40:C40"/>
    <mergeCell ref="D40:E40"/>
    <mergeCell ref="B41:C41"/>
    <mergeCell ref="D41:E41"/>
    <mergeCell ref="B34:B35"/>
    <mergeCell ref="C34:E34"/>
    <mergeCell ref="G34:J34"/>
    <mergeCell ref="K34:K35"/>
    <mergeCell ref="C35:E35"/>
    <mergeCell ref="G35:J35"/>
    <mergeCell ref="B32:B33"/>
    <mergeCell ref="C32:E32"/>
    <mergeCell ref="G32:J32"/>
    <mergeCell ref="K32:K33"/>
    <mergeCell ref="C33:E33"/>
    <mergeCell ref="G33:J33"/>
    <mergeCell ref="A3:L3"/>
    <mergeCell ref="B7:M9"/>
    <mergeCell ref="C29:E29"/>
    <mergeCell ref="G29:J29"/>
    <mergeCell ref="B30:B31"/>
    <mergeCell ref="C30:E30"/>
    <mergeCell ref="G30:J30"/>
    <mergeCell ref="K30:K31"/>
    <mergeCell ref="C31:E31"/>
    <mergeCell ref="G31:J31"/>
  </mergeCells>
  <pageMargins left="0.7" right="0.7" top="0.75" bottom="0.75" header="0.3" footer="0.3"/>
  <pageSetup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52818-4132-4684-B13B-B8EC56B83264}">
  <dimension ref="A1:O64"/>
  <sheetViews>
    <sheetView workbookViewId="0"/>
  </sheetViews>
  <sheetFormatPr defaultColWidth="8.6640625" defaultRowHeight="15.6"/>
  <cols>
    <col min="1" max="1" width="13.6640625" style="1" customWidth="1"/>
    <col min="2" max="2" width="17.6640625" style="1" customWidth="1"/>
    <col min="3" max="5" width="16.44140625" style="1" customWidth="1"/>
    <col min="6" max="6" width="14.88671875" style="1" customWidth="1"/>
    <col min="7" max="7" width="17.33203125" style="1" customWidth="1"/>
    <col min="8" max="8" width="13.6640625" style="1" customWidth="1"/>
    <col min="9" max="9" width="11.33203125" style="1" customWidth="1"/>
    <col min="10" max="10" width="21.6640625" style="1" customWidth="1"/>
    <col min="11" max="11" width="13" style="1" customWidth="1"/>
    <col min="12" max="12" width="14.44140625" style="1" customWidth="1"/>
    <col min="13" max="13" width="9.33203125" style="1" customWidth="1"/>
    <col min="14" max="14" width="11.33203125" style="1" customWidth="1"/>
    <col min="15" max="15" width="10.6640625" style="1" customWidth="1"/>
    <col min="16" max="16" width="10.88671875" style="1" customWidth="1"/>
    <col min="17" max="17" width="10.33203125" style="1" customWidth="1"/>
    <col min="18" max="18" width="10.109375" style="1" customWidth="1"/>
    <col min="19" max="16384" width="8.6640625" style="1"/>
  </cols>
  <sheetData>
    <row r="1" spans="1:13" ht="18">
      <c r="A1" s="23" t="s">
        <v>669</v>
      </c>
      <c r="B1" s="23"/>
      <c r="C1" s="342" t="s">
        <v>38</v>
      </c>
      <c r="D1" s="22"/>
      <c r="E1" s="22"/>
      <c r="F1" s="22"/>
      <c r="G1" s="22"/>
      <c r="H1" s="22"/>
      <c r="I1" s="22"/>
      <c r="J1" s="22"/>
      <c r="K1" s="22"/>
      <c r="L1" s="22"/>
      <c r="M1" s="22"/>
    </row>
    <row r="2" spans="1:13">
      <c r="A2" s="8"/>
      <c r="B2" s="8"/>
      <c r="C2" s="8"/>
      <c r="D2" s="8"/>
      <c r="E2" s="8"/>
      <c r="F2" s="8"/>
      <c r="G2" s="8"/>
      <c r="H2" s="8"/>
      <c r="I2" s="8"/>
      <c r="J2" s="8"/>
      <c r="K2" s="8"/>
      <c r="L2" s="8"/>
      <c r="M2" s="8"/>
    </row>
    <row r="3" spans="1:13" ht="15.6" customHeight="1">
      <c r="A3" s="1724" t="s">
        <v>1065</v>
      </c>
      <c r="B3" s="1724"/>
      <c r="C3" s="1724"/>
      <c r="D3" s="1724"/>
      <c r="E3" s="1724"/>
      <c r="F3" s="1724"/>
      <c r="G3" s="1724"/>
      <c r="H3" s="1724"/>
      <c r="I3" s="1724"/>
      <c r="J3" s="1724"/>
      <c r="K3" s="1724"/>
      <c r="L3" s="1724"/>
      <c r="M3" s="1724"/>
    </row>
    <row r="4" spans="1:13">
      <c r="A4" s="22"/>
      <c r="B4" s="22"/>
      <c r="C4" s="22"/>
      <c r="D4" s="22"/>
      <c r="E4" s="22"/>
      <c r="F4" s="22"/>
      <c r="G4" s="22"/>
      <c r="H4" s="22"/>
      <c r="I4" s="22"/>
      <c r="J4" s="22"/>
      <c r="K4" s="22"/>
      <c r="L4" s="22"/>
      <c r="M4" s="3"/>
    </row>
    <row r="5" spans="1:13" ht="15.6" customHeight="1">
      <c r="A5" s="1751" t="s">
        <v>663</v>
      </c>
      <c r="B5" s="1751" t="s">
        <v>1064</v>
      </c>
      <c r="C5" s="1751"/>
      <c r="D5" s="22"/>
      <c r="E5" s="22"/>
      <c r="F5" s="22"/>
      <c r="G5" s="22"/>
      <c r="H5" s="22"/>
      <c r="I5" s="22"/>
      <c r="J5" s="22"/>
      <c r="K5" s="22"/>
      <c r="L5" s="22"/>
      <c r="M5" s="3"/>
    </row>
    <row r="6" spans="1:13" ht="31.2">
      <c r="A6" s="1751"/>
      <c r="B6" s="334" t="s">
        <v>1063</v>
      </c>
      <c r="C6" s="334" t="s">
        <v>1062</v>
      </c>
      <c r="D6" s="22"/>
      <c r="E6" s="22"/>
      <c r="F6" s="22"/>
      <c r="G6" s="22"/>
      <c r="H6" s="22"/>
      <c r="I6" s="22"/>
      <c r="J6" s="22"/>
      <c r="K6" s="22"/>
      <c r="L6" s="22"/>
      <c r="M6" s="3"/>
    </row>
    <row r="7" spans="1:13">
      <c r="A7" s="796" t="s">
        <v>716</v>
      </c>
      <c r="B7" s="800">
        <v>24</v>
      </c>
      <c r="C7" s="800">
        <v>50</v>
      </c>
      <c r="D7" s="22"/>
      <c r="E7" s="22"/>
      <c r="F7" s="22"/>
      <c r="G7" s="22"/>
      <c r="H7" s="22"/>
      <c r="I7" s="22"/>
      <c r="J7" s="22"/>
      <c r="K7" s="22"/>
      <c r="L7" s="22"/>
      <c r="M7" s="3"/>
    </row>
    <row r="8" spans="1:13">
      <c r="A8" s="796" t="s">
        <v>854</v>
      </c>
      <c r="B8" s="800">
        <v>16</v>
      </c>
      <c r="C8" s="800">
        <v>30</v>
      </c>
      <c r="D8" s="22"/>
      <c r="E8" s="22"/>
      <c r="F8" s="22"/>
      <c r="G8" s="22"/>
      <c r="H8" s="22"/>
      <c r="I8" s="22"/>
      <c r="J8" s="22"/>
      <c r="K8" s="22"/>
      <c r="L8" s="22"/>
      <c r="M8" s="3"/>
    </row>
    <row r="9" spans="1:13">
      <c r="A9" s="22"/>
      <c r="B9" s="22"/>
      <c r="C9" s="22"/>
      <c r="D9" s="22"/>
      <c r="E9" s="22"/>
      <c r="F9" s="22"/>
      <c r="G9" s="22"/>
      <c r="H9" s="22"/>
      <c r="I9" s="22"/>
      <c r="J9" s="22"/>
      <c r="K9" s="22"/>
      <c r="L9" s="22"/>
      <c r="M9" s="3"/>
    </row>
    <row r="10" spans="1:13">
      <c r="A10" s="1829" t="s">
        <v>663</v>
      </c>
      <c r="B10" s="1746" t="s">
        <v>990</v>
      </c>
      <c r="C10" s="1747"/>
      <c r="D10" s="1747"/>
      <c r="E10" s="1748"/>
      <c r="F10" s="799"/>
      <c r="G10" s="799"/>
      <c r="H10" s="22"/>
      <c r="I10" s="22"/>
      <c r="J10" s="22"/>
      <c r="K10" s="22"/>
      <c r="L10" s="22"/>
      <c r="M10" s="3"/>
    </row>
    <row r="11" spans="1:13" ht="15.45" customHeight="1">
      <c r="A11" s="1830"/>
      <c r="B11" s="1831" t="s">
        <v>850</v>
      </c>
      <c r="C11" s="1831"/>
      <c r="D11" s="1831" t="s">
        <v>849</v>
      </c>
      <c r="E11" s="1831"/>
      <c r="F11" s="22"/>
      <c r="G11" s="22"/>
      <c r="H11" s="22"/>
      <c r="I11" s="22"/>
      <c r="J11" s="22"/>
      <c r="K11" s="22"/>
      <c r="L11" s="22"/>
      <c r="M11" s="3"/>
    </row>
    <row r="12" spans="1:13">
      <c r="A12" s="1830"/>
      <c r="B12" s="334" t="s">
        <v>1044</v>
      </c>
      <c r="C12" s="334" t="s">
        <v>922</v>
      </c>
      <c r="D12" s="334" t="s">
        <v>1044</v>
      </c>
      <c r="E12" s="334" t="s">
        <v>922</v>
      </c>
      <c r="F12" s="22"/>
      <c r="G12" s="22"/>
      <c r="H12" s="22"/>
      <c r="I12" s="22"/>
      <c r="J12" s="22"/>
      <c r="K12" s="22"/>
      <c r="L12" s="22"/>
      <c r="M12" s="3"/>
    </row>
    <row r="13" spans="1:13">
      <c r="A13" s="605" t="s">
        <v>716</v>
      </c>
      <c r="B13" s="797">
        <v>0.04</v>
      </c>
      <c r="C13" s="797">
        <v>0.06</v>
      </c>
      <c r="D13" s="797">
        <v>0.08</v>
      </c>
      <c r="E13" s="797">
        <v>0.05</v>
      </c>
      <c r="F13" s="22"/>
      <c r="G13" s="22"/>
      <c r="H13" s="22"/>
      <c r="I13" s="22"/>
      <c r="J13" s="22"/>
      <c r="K13" s="22"/>
      <c r="L13" s="22"/>
      <c r="M13" s="3"/>
    </row>
    <row r="14" spans="1:13">
      <c r="A14" s="605" t="s">
        <v>854</v>
      </c>
      <c r="B14" s="797">
        <v>0.1</v>
      </c>
      <c r="C14" s="797">
        <v>0.125</v>
      </c>
      <c r="D14" s="797">
        <v>0.06</v>
      </c>
      <c r="E14" s="797">
        <v>0.1</v>
      </c>
      <c r="F14" s="22"/>
      <c r="G14" s="22"/>
      <c r="H14" s="22"/>
      <c r="I14" s="22"/>
      <c r="J14" s="22"/>
      <c r="K14" s="22"/>
      <c r="L14" s="22"/>
      <c r="M14" s="3"/>
    </row>
    <row r="15" spans="1:13">
      <c r="A15" s="22"/>
      <c r="B15" s="22"/>
      <c r="C15" s="22"/>
      <c r="D15" s="22"/>
      <c r="E15" s="22"/>
      <c r="F15" s="22"/>
      <c r="G15" s="22"/>
      <c r="H15" s="22"/>
      <c r="I15" s="22"/>
      <c r="J15" s="22"/>
      <c r="K15" s="22"/>
      <c r="L15" s="22"/>
      <c r="M15" s="3"/>
    </row>
    <row r="16" spans="1:13">
      <c r="A16" s="1694"/>
      <c r="B16" s="1707" t="s">
        <v>1061</v>
      </c>
      <c r="C16" s="1709"/>
      <c r="D16" s="1709"/>
      <c r="E16" s="1708"/>
      <c r="F16" s="22"/>
      <c r="G16" s="22"/>
      <c r="H16" s="22"/>
      <c r="I16" s="22"/>
      <c r="J16" s="22"/>
      <c r="K16" s="22"/>
      <c r="L16" s="22"/>
      <c r="M16" s="3"/>
    </row>
    <row r="17" spans="1:13">
      <c r="A17" s="1695"/>
      <c r="B17" s="546" t="s">
        <v>1060</v>
      </c>
      <c r="C17" s="546" t="s">
        <v>1059</v>
      </c>
      <c r="D17" s="546" t="s">
        <v>1058</v>
      </c>
      <c r="E17" s="546" t="s">
        <v>916</v>
      </c>
      <c r="F17" s="22"/>
      <c r="G17" s="22"/>
      <c r="H17" s="22"/>
      <c r="I17" s="22"/>
      <c r="J17" s="22"/>
      <c r="K17" s="22"/>
      <c r="L17" s="22"/>
      <c r="M17" s="3"/>
    </row>
    <row r="18" spans="1:13">
      <c r="A18" s="796" t="s">
        <v>1060</v>
      </c>
      <c r="B18" s="654">
        <v>1</v>
      </c>
      <c r="C18" s="654">
        <v>0.5</v>
      </c>
      <c r="D18" s="654">
        <v>0.25</v>
      </c>
      <c r="E18" s="654">
        <v>0</v>
      </c>
      <c r="F18" s="22"/>
      <c r="G18" s="22"/>
      <c r="H18" s="22"/>
      <c r="I18" s="22"/>
      <c r="J18" s="22"/>
      <c r="K18" s="22"/>
      <c r="L18" s="22"/>
      <c r="M18" s="3"/>
    </row>
    <row r="19" spans="1:13">
      <c r="A19" s="796" t="s">
        <v>1059</v>
      </c>
      <c r="B19" s="654">
        <v>0.5</v>
      </c>
      <c r="C19" s="654">
        <v>1</v>
      </c>
      <c r="D19" s="654">
        <v>0.25</v>
      </c>
      <c r="E19" s="654">
        <v>0</v>
      </c>
      <c r="F19" s="22"/>
      <c r="G19" s="22"/>
      <c r="H19" s="22"/>
      <c r="I19" s="22"/>
      <c r="J19" s="22"/>
      <c r="K19" s="22"/>
      <c r="L19" s="22"/>
      <c r="M19" s="3"/>
    </row>
    <row r="20" spans="1:13">
      <c r="A20" s="796" t="s">
        <v>1058</v>
      </c>
      <c r="B20" s="654">
        <v>0.25</v>
      </c>
      <c r="C20" s="654">
        <v>0.25</v>
      </c>
      <c r="D20" s="654">
        <v>1</v>
      </c>
      <c r="E20" s="654">
        <v>0</v>
      </c>
      <c r="F20" s="22"/>
      <c r="G20" s="22"/>
      <c r="H20" s="22"/>
      <c r="I20" s="22"/>
      <c r="J20" s="22"/>
      <c r="K20" s="22"/>
      <c r="L20" s="22"/>
      <c r="M20" s="3"/>
    </row>
    <row r="21" spans="1:13">
      <c r="A21" s="796" t="s">
        <v>916</v>
      </c>
      <c r="B21" s="654">
        <v>0</v>
      </c>
      <c r="C21" s="654">
        <v>0</v>
      </c>
      <c r="D21" s="654">
        <v>0</v>
      </c>
      <c r="E21" s="654">
        <v>1</v>
      </c>
      <c r="F21" s="22"/>
      <c r="G21" s="22"/>
      <c r="H21" s="22"/>
      <c r="I21" s="22"/>
      <c r="J21" s="22"/>
      <c r="K21" s="22"/>
      <c r="L21" s="22"/>
      <c r="M21" s="3"/>
    </row>
    <row r="22" spans="1:13">
      <c r="A22" s="22"/>
      <c r="B22" s="790"/>
      <c r="C22" s="790"/>
      <c r="D22" s="790"/>
      <c r="E22" s="790"/>
      <c r="F22" s="22"/>
      <c r="G22" s="22"/>
      <c r="H22" s="22"/>
      <c r="I22" s="22"/>
      <c r="J22" s="22"/>
      <c r="K22" s="793"/>
      <c r="L22" s="793"/>
      <c r="M22" s="792" t="s">
        <v>1057</v>
      </c>
    </row>
    <row r="23" spans="1:13">
      <c r="A23" s="795" t="s">
        <v>1056</v>
      </c>
      <c r="B23" s="790"/>
      <c r="C23" s="790"/>
      <c r="D23" s="790"/>
      <c r="E23" s="22"/>
      <c r="F23" s="22"/>
      <c r="G23" s="22"/>
      <c r="H23" s="22"/>
      <c r="I23" s="22"/>
      <c r="J23" s="22"/>
      <c r="K23" s="22"/>
      <c r="L23" s="22"/>
      <c r="M23" s="794">
        <v>4.4999999999999998E-2</v>
      </c>
    </row>
    <row r="24" spans="1:13">
      <c r="A24" s="22" t="s">
        <v>1055</v>
      </c>
      <c r="B24" s="790"/>
      <c r="C24" s="790"/>
      <c r="D24" s="790"/>
      <c r="E24" s="790"/>
      <c r="F24" s="22"/>
      <c r="G24" s="22"/>
      <c r="H24" s="22"/>
      <c r="I24" s="22"/>
      <c r="J24" s="22"/>
      <c r="K24" s="22"/>
      <c r="L24" s="22"/>
      <c r="M24" s="3"/>
    </row>
    <row r="25" spans="1:13">
      <c r="A25" s="22" t="s">
        <v>1054</v>
      </c>
      <c r="B25" s="790"/>
      <c r="C25" s="790"/>
      <c r="D25" s="790"/>
      <c r="E25" s="790"/>
      <c r="F25" s="22"/>
      <c r="G25" s="22"/>
      <c r="H25" s="22"/>
      <c r="I25" s="22"/>
      <c r="J25" s="22"/>
      <c r="K25" s="22"/>
      <c r="L25" s="22"/>
      <c r="M25" s="3"/>
    </row>
    <row r="26" spans="1:13">
      <c r="A26" s="22" t="s">
        <v>1053</v>
      </c>
      <c r="B26" s="790"/>
      <c r="C26" s="790"/>
      <c r="D26" s="790"/>
      <c r="E26" s="790"/>
      <c r="F26" s="22"/>
      <c r="G26" s="22"/>
      <c r="H26" s="22"/>
      <c r="I26" s="22"/>
      <c r="J26" s="22"/>
      <c r="K26" s="793"/>
      <c r="L26" s="793"/>
      <c r="M26" s="792" t="s">
        <v>1052</v>
      </c>
    </row>
    <row r="27" spans="1:13">
      <c r="A27" s="22" t="s">
        <v>1051</v>
      </c>
      <c r="B27" s="790"/>
      <c r="C27" s="790"/>
      <c r="D27" s="790"/>
      <c r="E27" s="22"/>
      <c r="F27" s="22"/>
      <c r="G27" s="22"/>
      <c r="H27" s="22"/>
      <c r="I27" s="22"/>
      <c r="J27" s="22"/>
      <c r="K27" s="22"/>
      <c r="L27" s="22"/>
      <c r="M27" s="791">
        <v>0.84160000000000001</v>
      </c>
    </row>
    <row r="28" spans="1:13">
      <c r="A28" s="22"/>
      <c r="B28" s="790"/>
      <c r="C28" s="790"/>
      <c r="D28" s="790"/>
      <c r="E28" s="22"/>
      <c r="F28" s="22"/>
      <c r="G28" s="22"/>
      <c r="H28" s="22"/>
      <c r="I28" s="22"/>
      <c r="J28" s="22"/>
      <c r="K28" s="22"/>
      <c r="L28" s="22"/>
      <c r="M28" s="3"/>
    </row>
    <row r="29" spans="1:13">
      <c r="A29" s="323" t="s">
        <v>80</v>
      </c>
      <c r="B29" s="22" t="s">
        <v>1050</v>
      </c>
      <c r="C29" s="22"/>
      <c r="D29" s="22"/>
      <c r="E29" s="22"/>
      <c r="F29" s="22"/>
      <c r="G29" s="22"/>
      <c r="H29" s="22"/>
      <c r="I29" s="22"/>
      <c r="J29" s="22"/>
      <c r="K29" s="22"/>
      <c r="L29" s="22"/>
      <c r="M29" s="3"/>
    </row>
    <row r="30" spans="1:13" ht="16.2">
      <c r="A30" s="789"/>
      <c r="B30" s="1832" t="s">
        <v>64</v>
      </c>
      <c r="C30" s="1832"/>
      <c r="D30" s="1832"/>
      <c r="E30" s="1832"/>
      <c r="F30" s="1832"/>
      <c r="G30" s="1832"/>
      <c r="H30" s="1832"/>
      <c r="I30" s="1832"/>
      <c r="J30" s="1832"/>
      <c r="K30" s="1832"/>
      <c r="L30" s="1832"/>
      <c r="M30" s="1832"/>
    </row>
    <row r="31" spans="1:13" ht="19.95" customHeight="1">
      <c r="A31" s="1833" t="s">
        <v>1049</v>
      </c>
      <c r="B31" s="1834"/>
      <c r="C31" s="1834"/>
      <c r="D31" s="1834"/>
      <c r="E31" s="1834"/>
      <c r="F31" s="1834"/>
      <c r="G31" s="1834"/>
      <c r="H31" s="1834"/>
      <c r="I31" s="1834"/>
      <c r="J31" s="1834"/>
      <c r="K31" s="1834"/>
      <c r="L31" s="1834"/>
      <c r="M31" s="1834"/>
    </row>
    <row r="32" spans="1:13" ht="19.95" customHeight="1">
      <c r="A32" s="1834"/>
      <c r="B32" s="1834"/>
      <c r="C32" s="1834"/>
      <c r="D32" s="1834"/>
      <c r="E32" s="1834"/>
      <c r="F32" s="1834"/>
      <c r="G32" s="1834"/>
      <c r="H32" s="1834"/>
      <c r="I32" s="1834"/>
      <c r="J32" s="1834"/>
      <c r="K32" s="1834"/>
      <c r="L32" s="1834"/>
      <c r="M32" s="1834"/>
    </row>
    <row r="33" spans="1:15" ht="19.95" customHeight="1">
      <c r="A33" s="1834"/>
      <c r="B33" s="1834"/>
      <c r="C33" s="1834"/>
      <c r="D33" s="1834"/>
      <c r="E33" s="1834"/>
      <c r="F33" s="1834"/>
      <c r="G33" s="1834"/>
      <c r="H33" s="1834"/>
      <c r="I33" s="1834"/>
      <c r="J33" s="1834"/>
      <c r="K33" s="1834"/>
      <c r="L33" s="1834"/>
      <c r="M33" s="1834"/>
    </row>
    <row r="34" spans="1:15" s="328" customFormat="1">
      <c r="A34" s="323" t="s">
        <v>9</v>
      </c>
      <c r="B34" s="22" t="s">
        <v>1048</v>
      </c>
      <c r="C34" s="22"/>
      <c r="D34" s="22"/>
      <c r="E34" s="22"/>
      <c r="F34" s="22"/>
      <c r="G34" s="22"/>
      <c r="H34" s="22"/>
      <c r="I34" s="22"/>
      <c r="J34" s="22"/>
      <c r="K34" s="22"/>
      <c r="L34" s="22"/>
      <c r="M34" s="22"/>
      <c r="N34" s="1"/>
      <c r="O34" s="1"/>
    </row>
    <row r="35" spans="1:15" s="328" customFormat="1" ht="15.45" customHeight="1">
      <c r="A35" s="323"/>
      <c r="B35" s="22" t="s">
        <v>1047</v>
      </c>
      <c r="C35" s="22"/>
      <c r="D35" s="22"/>
      <c r="E35" s="22"/>
      <c r="F35" s="22"/>
      <c r="G35" s="22"/>
      <c r="H35" s="22"/>
      <c r="I35" s="22"/>
      <c r="J35" s="22"/>
      <c r="K35" s="22"/>
      <c r="L35" s="22"/>
      <c r="M35" s="22"/>
      <c r="N35" s="1"/>
      <c r="O35" s="1"/>
    </row>
    <row r="36" spans="1:15" s="328" customFormat="1" ht="15.45" customHeight="1">
      <c r="A36" s="22"/>
      <c r="B36" s="1832" t="s">
        <v>64</v>
      </c>
      <c r="C36" s="1832"/>
      <c r="D36" s="1832"/>
      <c r="E36" s="1832"/>
      <c r="F36" s="1832"/>
      <c r="G36" s="1832"/>
      <c r="H36" s="1832"/>
      <c r="I36" s="1832"/>
      <c r="J36" s="1832"/>
      <c r="K36" s="1832"/>
      <c r="L36" s="1832"/>
      <c r="M36" s="1832"/>
      <c r="N36" s="1"/>
      <c r="O36" s="1"/>
    </row>
    <row r="37" spans="1:15" ht="15.45" customHeight="1">
      <c r="F37" s="779"/>
      <c r="M37" s="37"/>
    </row>
    <row r="38" spans="1:15">
      <c r="B38" s="1687" t="s">
        <v>1046</v>
      </c>
      <c r="C38" s="1835"/>
      <c r="D38" s="1688"/>
    </row>
    <row r="39" spans="1:15">
      <c r="B39" s="246" t="s">
        <v>1045</v>
      </c>
      <c r="C39" s="488" t="s">
        <v>1044</v>
      </c>
      <c r="D39" s="488" t="s">
        <v>922</v>
      </c>
    </row>
    <row r="40" spans="1:15">
      <c r="B40" s="788" t="s">
        <v>716</v>
      </c>
      <c r="C40" s="787">
        <f>(B13*B7)^2</f>
        <v>0.92159999999999997</v>
      </c>
      <c r="D40" s="787">
        <f>(C13*C7)^2</f>
        <v>9</v>
      </c>
    </row>
    <row r="41" spans="1:15">
      <c r="B41" s="788" t="s">
        <v>854</v>
      </c>
      <c r="C41" s="787">
        <f>(B14*B8)^2</f>
        <v>2.5600000000000005</v>
      </c>
      <c r="D41" s="787">
        <f>(C14*C8)^2</f>
        <v>14.0625</v>
      </c>
    </row>
    <row r="43" spans="1:15">
      <c r="B43" s="508"/>
      <c r="C43" s="285" t="s">
        <v>1043</v>
      </c>
    </row>
    <row r="44" spans="1:15">
      <c r="B44" s="786" t="s">
        <v>1042</v>
      </c>
      <c r="C44" s="785">
        <f>B19*B13*C13*B7*C7</f>
        <v>1.44</v>
      </c>
    </row>
    <row r="45" spans="1:15">
      <c r="B45" s="786" t="s">
        <v>1041</v>
      </c>
      <c r="C45" s="785">
        <f>B20*B13*B14*B7*B8</f>
        <v>0.38400000000000001</v>
      </c>
    </row>
    <row r="46" spans="1:15">
      <c r="B46" s="784" t="s">
        <v>1040</v>
      </c>
      <c r="C46" s="783">
        <f>C20*C13*B14*C7*B8</f>
        <v>1.2</v>
      </c>
    </row>
    <row r="48" spans="1:15" ht="15.45" customHeight="1">
      <c r="B48" s="782">
        <f>SQRT(SUM(C40:D41)+2*SUM(C44:C46))/SUM(B7:C8)</f>
        <v>4.75745759600417E-2</v>
      </c>
      <c r="F48" s="779"/>
      <c r="M48" s="37"/>
    </row>
    <row r="49" spans="1:15" ht="15.45" customHeight="1">
      <c r="F49" s="779"/>
      <c r="M49" s="37"/>
    </row>
    <row r="50" spans="1:15" s="328" customFormat="1">
      <c r="A50" s="22"/>
      <c r="B50" s="22" t="s">
        <v>1039</v>
      </c>
      <c r="C50" s="22"/>
      <c r="D50" s="22"/>
      <c r="E50" s="22"/>
      <c r="F50" s="22"/>
      <c r="G50" s="22"/>
      <c r="H50" s="22"/>
      <c r="I50" s="22"/>
      <c r="J50" s="22"/>
      <c r="K50" s="22"/>
      <c r="L50" s="22"/>
      <c r="M50" s="22"/>
      <c r="N50" s="1"/>
      <c r="O50" s="1"/>
    </row>
    <row r="51" spans="1:15" s="328" customFormat="1" ht="16.2">
      <c r="A51" s="22"/>
      <c r="B51" s="1832" t="s">
        <v>64</v>
      </c>
      <c r="C51" s="1832"/>
      <c r="D51" s="1832"/>
      <c r="E51" s="1832"/>
      <c r="F51" s="1832"/>
      <c r="G51" s="1832"/>
      <c r="H51" s="1832"/>
      <c r="I51" s="1832"/>
      <c r="J51" s="1832"/>
      <c r="K51" s="1832"/>
      <c r="L51" s="1832"/>
      <c r="M51" s="1832"/>
      <c r="N51" s="1"/>
      <c r="O51" s="1"/>
    </row>
    <row r="52" spans="1:15" s="328" customFormat="1">
      <c r="A52" s="1"/>
      <c r="C52" s="1"/>
      <c r="D52" s="1"/>
      <c r="E52" s="1"/>
      <c r="F52" s="779"/>
      <c r="G52" s="1"/>
      <c r="H52" s="1"/>
      <c r="I52" s="1"/>
      <c r="J52" s="1"/>
      <c r="K52" s="1"/>
      <c r="L52" s="1"/>
      <c r="M52" s="37"/>
      <c r="N52" s="1"/>
      <c r="O52" s="1"/>
    </row>
    <row r="53" spans="1:15">
      <c r="B53" s="782">
        <f>SQRT((B7*D13)^2+(B8*D14)^2+(C7*E13)^2+(C8*E14)^2)/SUM(B7:C8)</f>
        <v>3.7135263265227807E-2</v>
      </c>
    </row>
    <row r="54" spans="1:15">
      <c r="F54" s="779"/>
      <c r="M54" s="37"/>
    </row>
    <row r="55" spans="1:15">
      <c r="A55" s="22"/>
      <c r="B55" s="22" t="s">
        <v>1038</v>
      </c>
      <c r="C55" s="22"/>
      <c r="D55" s="22"/>
      <c r="E55" s="22"/>
      <c r="F55" s="22"/>
      <c r="G55" s="22"/>
      <c r="H55" s="22"/>
      <c r="I55" s="22"/>
      <c r="J55" s="22"/>
      <c r="K55" s="22"/>
      <c r="L55" s="22"/>
      <c r="M55" s="22"/>
    </row>
    <row r="56" spans="1:15" ht="16.2">
      <c r="A56" s="22"/>
      <c r="B56" s="1832" t="s">
        <v>64</v>
      </c>
      <c r="C56" s="1832"/>
      <c r="D56" s="1832"/>
      <c r="E56" s="1832"/>
      <c r="F56" s="1832"/>
      <c r="G56" s="1832"/>
      <c r="H56" s="1832"/>
      <c r="I56" s="1832"/>
      <c r="J56" s="1832"/>
      <c r="K56" s="1832"/>
      <c r="L56" s="1832"/>
      <c r="M56" s="1832"/>
    </row>
    <row r="57" spans="1:15">
      <c r="F57" s="779"/>
      <c r="M57" s="37"/>
    </row>
    <row r="58" spans="1:15">
      <c r="B58" s="782">
        <f>SQRT((M23^2+B48^2+B53^2))</f>
        <v>7.528192383006399E-2</v>
      </c>
    </row>
    <row r="59" spans="1:15">
      <c r="F59" s="779"/>
      <c r="M59" s="37"/>
    </row>
    <row r="60" spans="1:15">
      <c r="A60" s="22"/>
      <c r="B60" s="22" t="s">
        <v>1037</v>
      </c>
      <c r="C60" s="22"/>
      <c r="D60" s="22"/>
      <c r="E60" s="22"/>
      <c r="F60" s="22"/>
      <c r="G60" s="22"/>
      <c r="H60" s="22"/>
      <c r="I60" s="22"/>
      <c r="J60" s="22"/>
      <c r="K60" s="22"/>
      <c r="L60" s="22"/>
      <c r="M60" s="22"/>
    </row>
    <row r="61" spans="1:15" ht="16.2">
      <c r="A61" s="22"/>
      <c r="B61" s="1832" t="s">
        <v>64</v>
      </c>
      <c r="C61" s="1832"/>
      <c r="D61" s="1832"/>
      <c r="E61" s="1832"/>
      <c r="F61" s="1832"/>
      <c r="G61" s="1832"/>
      <c r="H61" s="1832"/>
      <c r="I61" s="1832"/>
      <c r="J61" s="1832"/>
      <c r="K61" s="1832"/>
      <c r="L61" s="1832"/>
      <c r="M61" s="1832"/>
    </row>
    <row r="62" spans="1:15">
      <c r="F62" s="779"/>
      <c r="M62" s="37"/>
    </row>
    <row r="63" spans="1:15">
      <c r="B63" s="780">
        <f>B58*M27*SUM(B7:C8)</f>
        <v>7.6028720514458223</v>
      </c>
    </row>
    <row r="64" spans="1:15">
      <c r="F64" s="779"/>
      <c r="M64" s="37"/>
    </row>
  </sheetData>
  <mergeCells count="16">
    <mergeCell ref="B51:M51"/>
    <mergeCell ref="B56:M56"/>
    <mergeCell ref="B61:M61"/>
    <mergeCell ref="A16:A17"/>
    <mergeCell ref="B16:E16"/>
    <mergeCell ref="B30:M30"/>
    <mergeCell ref="A31:M33"/>
    <mergeCell ref="B36:M36"/>
    <mergeCell ref="B38:D38"/>
    <mergeCell ref="A3:M3"/>
    <mergeCell ref="A5:A6"/>
    <mergeCell ref="B5:C5"/>
    <mergeCell ref="A10:A12"/>
    <mergeCell ref="B10:E10"/>
    <mergeCell ref="B11:C11"/>
    <mergeCell ref="D11:E1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F0373-8BA2-4A34-8F1E-E46EDBE21E6F}">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FE66E-3C8F-4121-B08D-96AD7508EA83}">
  <dimension ref="A1:R129"/>
  <sheetViews>
    <sheetView zoomScaleNormal="100" workbookViewId="0"/>
  </sheetViews>
  <sheetFormatPr defaultColWidth="8.88671875" defaultRowHeight="15.6"/>
  <cols>
    <col min="1" max="1" width="8.88671875" style="1" customWidth="1"/>
    <col min="2" max="8" width="11.77734375" style="1" customWidth="1"/>
    <col min="9" max="12" width="14.77734375" style="1" customWidth="1"/>
    <col min="13" max="16384" width="8.88671875" style="1"/>
  </cols>
  <sheetData>
    <row r="1" spans="1:12" ht="17.399999999999999">
      <c r="A1" s="23" t="s">
        <v>813</v>
      </c>
      <c r="B1" s="22"/>
      <c r="C1" s="22" t="s">
        <v>1094</v>
      </c>
      <c r="D1" s="22"/>
      <c r="E1" s="22"/>
      <c r="F1" s="22"/>
      <c r="G1" s="22"/>
      <c r="H1" s="22"/>
      <c r="I1" s="22"/>
      <c r="J1" s="22"/>
      <c r="K1" s="22"/>
      <c r="L1" s="2"/>
    </row>
    <row r="2" spans="1:12">
      <c r="A2" s="22"/>
      <c r="B2" s="22"/>
      <c r="C2" s="22"/>
      <c r="D2" s="22"/>
      <c r="E2" s="22"/>
      <c r="F2" s="22"/>
      <c r="G2" s="22"/>
      <c r="H2" s="22"/>
      <c r="I2" s="22"/>
      <c r="J2" s="22"/>
      <c r="K2" s="22"/>
      <c r="L2" s="2"/>
    </row>
    <row r="3" spans="1:12">
      <c r="A3" s="22" t="s">
        <v>1093</v>
      </c>
      <c r="B3" s="22"/>
      <c r="C3" s="22"/>
      <c r="D3" s="22"/>
      <c r="E3" s="22"/>
      <c r="F3" s="22"/>
      <c r="G3" s="22"/>
      <c r="H3" s="22"/>
      <c r="I3" s="22"/>
      <c r="J3" s="22"/>
      <c r="K3" s="22"/>
      <c r="L3" s="2"/>
    </row>
    <row r="4" spans="1:12">
      <c r="A4" s="22"/>
      <c r="B4" s="22"/>
      <c r="C4" s="22"/>
      <c r="D4" s="22"/>
      <c r="E4" s="22"/>
      <c r="F4" s="22"/>
      <c r="G4" s="22"/>
      <c r="H4" s="22"/>
      <c r="I4" s="22"/>
      <c r="J4" s="22"/>
      <c r="K4" s="22"/>
      <c r="L4" s="22"/>
    </row>
    <row r="5" spans="1:12">
      <c r="A5" s="22"/>
      <c r="B5" s="1751" t="s">
        <v>31</v>
      </c>
      <c r="C5" s="1751" t="s">
        <v>1092</v>
      </c>
      <c r="D5" s="1751"/>
      <c r="E5" s="1751"/>
      <c r="F5" s="1751"/>
      <c r="G5" s="1751"/>
      <c r="H5" s="1751"/>
      <c r="I5" s="1751" t="s">
        <v>1091</v>
      </c>
      <c r="J5" s="22"/>
      <c r="K5" s="22"/>
      <c r="L5" s="22"/>
    </row>
    <row r="6" spans="1:12" ht="16.2" customHeight="1">
      <c r="A6" s="22"/>
      <c r="B6" s="1836"/>
      <c r="C6" s="334">
        <v>12</v>
      </c>
      <c r="D6" s="334">
        <v>24</v>
      </c>
      <c r="E6" s="334">
        <v>36</v>
      </c>
      <c r="F6" s="334">
        <v>48</v>
      </c>
      <c r="G6" s="334">
        <v>60</v>
      </c>
      <c r="H6" s="334">
        <v>72</v>
      </c>
      <c r="I6" s="1751"/>
      <c r="J6" s="22"/>
      <c r="K6" s="22"/>
      <c r="L6" s="22"/>
    </row>
    <row r="7" spans="1:12">
      <c r="A7" s="22"/>
      <c r="B7" s="628">
        <v>2014</v>
      </c>
      <c r="C7" s="526">
        <v>3013</v>
      </c>
      <c r="D7" s="526">
        <v>4401</v>
      </c>
      <c r="E7" s="526">
        <v>5552</v>
      </c>
      <c r="F7" s="526">
        <v>6159</v>
      </c>
      <c r="G7" s="526">
        <v>6509</v>
      </c>
      <c r="H7" s="526">
        <v>6557</v>
      </c>
      <c r="I7" s="526">
        <v>6557</v>
      </c>
      <c r="J7" s="22"/>
      <c r="K7" s="22"/>
      <c r="L7" s="22"/>
    </row>
    <row r="8" spans="1:12">
      <c r="A8" s="22"/>
      <c r="B8" s="628">
        <v>2015</v>
      </c>
      <c r="C8" s="526">
        <v>3401</v>
      </c>
      <c r="D8" s="526">
        <v>4902</v>
      </c>
      <c r="E8" s="526">
        <v>6078</v>
      </c>
      <c r="F8" s="526">
        <v>6747</v>
      </c>
      <c r="G8" s="526">
        <v>7242</v>
      </c>
      <c r="H8" s="628"/>
      <c r="I8" s="526">
        <v>7293</v>
      </c>
      <c r="J8" s="22"/>
      <c r="K8" s="22"/>
      <c r="L8" s="22"/>
    </row>
    <row r="9" spans="1:12">
      <c r="A9" s="22"/>
      <c r="B9" s="628">
        <v>2016</v>
      </c>
      <c r="C9" s="526">
        <v>3559</v>
      </c>
      <c r="D9" s="526">
        <v>5374</v>
      </c>
      <c r="E9" s="526">
        <v>6744</v>
      </c>
      <c r="F9" s="526">
        <v>7544</v>
      </c>
      <c r="G9" s="628"/>
      <c r="H9" s="628"/>
      <c r="I9" s="526">
        <v>8087</v>
      </c>
      <c r="J9" s="22"/>
      <c r="K9" s="22"/>
      <c r="L9" s="22"/>
    </row>
    <row r="10" spans="1:12">
      <c r="A10" s="22"/>
      <c r="B10" s="628">
        <v>2017</v>
      </c>
      <c r="C10" s="526">
        <v>3189</v>
      </c>
      <c r="D10" s="526">
        <v>4604</v>
      </c>
      <c r="E10" s="526">
        <v>5988</v>
      </c>
      <c r="F10" s="802"/>
      <c r="G10" s="802"/>
      <c r="H10" s="802"/>
      <c r="I10" s="526">
        <v>7150</v>
      </c>
      <c r="J10" s="22"/>
      <c r="K10" s="22"/>
      <c r="L10" s="22"/>
    </row>
    <row r="11" spans="1:12">
      <c r="A11" s="22"/>
      <c r="B11" s="628">
        <v>2018</v>
      </c>
      <c r="C11" s="628">
        <v>3.2919999999999998</v>
      </c>
      <c r="D11" s="526">
        <v>5018</v>
      </c>
      <c r="E11" s="628"/>
      <c r="F11" s="802"/>
      <c r="G11" s="802"/>
      <c r="H11" s="802"/>
      <c r="I11" s="526">
        <v>7572</v>
      </c>
      <c r="J11" s="22"/>
      <c r="K11" s="22"/>
      <c r="L11" s="22"/>
    </row>
    <row r="12" spans="1:12">
      <c r="A12" s="22"/>
      <c r="B12" s="628">
        <v>2019</v>
      </c>
      <c r="C12" s="526">
        <v>3537</v>
      </c>
      <c r="D12" s="628"/>
      <c r="E12" s="628"/>
      <c r="F12" s="802"/>
      <c r="G12" s="802"/>
      <c r="H12" s="802"/>
      <c r="I12" s="526">
        <v>7875</v>
      </c>
      <c r="J12" s="22"/>
      <c r="K12" s="22"/>
      <c r="L12" s="22"/>
    </row>
    <row r="13" spans="1:12">
      <c r="A13" s="22"/>
      <c r="B13" s="22"/>
      <c r="C13" s="22"/>
      <c r="D13" s="22"/>
      <c r="E13" s="22"/>
      <c r="F13" s="22"/>
      <c r="G13" s="22"/>
      <c r="H13" s="22"/>
      <c r="I13" s="22"/>
      <c r="J13" s="22"/>
      <c r="K13" s="22"/>
      <c r="L13" s="22"/>
    </row>
    <row r="14" spans="1:12">
      <c r="A14" s="22"/>
      <c r="B14" s="22" t="s">
        <v>1090</v>
      </c>
      <c r="C14" s="22"/>
      <c r="D14" s="22"/>
      <c r="E14" s="22"/>
      <c r="F14" s="22"/>
      <c r="G14" s="22"/>
      <c r="H14" s="22"/>
      <c r="I14" s="22"/>
      <c r="J14" s="22"/>
      <c r="K14" s="22"/>
      <c r="L14" s="22"/>
    </row>
    <row r="15" spans="1:12">
      <c r="A15" s="22"/>
      <c r="B15" s="22"/>
      <c r="C15" s="22"/>
      <c r="D15" s="22"/>
      <c r="E15" s="22"/>
      <c r="F15" s="22"/>
      <c r="G15" s="22"/>
      <c r="H15" s="22"/>
      <c r="I15" s="22"/>
      <c r="J15" s="22"/>
      <c r="K15" s="22"/>
      <c r="L15" s="22"/>
    </row>
    <row r="16" spans="1:12">
      <c r="A16" s="22" t="s">
        <v>1089</v>
      </c>
      <c r="B16" s="22"/>
      <c r="C16" s="22"/>
      <c r="D16" s="22"/>
      <c r="E16" s="22"/>
      <c r="F16" s="22"/>
      <c r="G16" s="22"/>
      <c r="H16" s="22"/>
      <c r="I16" s="22"/>
      <c r="J16" s="22"/>
      <c r="K16" s="22"/>
      <c r="L16" s="22"/>
    </row>
    <row r="17" spans="1:18">
      <c r="A17" s="22"/>
      <c r="B17" s="22"/>
      <c r="C17" s="22"/>
      <c r="D17" s="22"/>
      <c r="E17" s="22"/>
      <c r="F17" s="22"/>
      <c r="G17" s="22"/>
      <c r="H17" s="22"/>
      <c r="I17" s="22"/>
      <c r="J17" s="22"/>
      <c r="K17" s="22"/>
      <c r="L17" s="22"/>
    </row>
    <row r="18" spans="1:18">
      <c r="A18" s="22"/>
      <c r="B18" s="1751" t="s">
        <v>31</v>
      </c>
      <c r="C18" s="1751" t="s">
        <v>1088</v>
      </c>
      <c r="D18" s="1837"/>
      <c r="E18" s="22"/>
      <c r="F18" s="22"/>
      <c r="G18" s="22"/>
      <c r="H18" s="22"/>
      <c r="I18" s="22"/>
      <c r="J18" s="22"/>
      <c r="K18" s="22"/>
      <c r="L18" s="22"/>
    </row>
    <row r="19" spans="1:18">
      <c r="A19" s="22"/>
      <c r="B19" s="1836"/>
      <c r="C19" s="1751"/>
      <c r="D19" s="1837"/>
      <c r="E19" s="22"/>
      <c r="F19" s="22"/>
      <c r="G19" s="22"/>
      <c r="H19" s="22"/>
      <c r="I19" s="22"/>
      <c r="J19" s="22"/>
      <c r="K19" s="22"/>
      <c r="L19" s="22"/>
    </row>
    <row r="20" spans="1:18">
      <c r="A20" s="22"/>
      <c r="B20" s="628">
        <v>2014</v>
      </c>
      <c r="C20" s="1755">
        <v>6557</v>
      </c>
      <c r="D20" s="1755"/>
      <c r="E20" s="22"/>
      <c r="F20" s="22"/>
      <c r="G20" s="22"/>
      <c r="H20" s="22"/>
      <c r="I20" s="22"/>
      <c r="J20" s="22"/>
      <c r="K20" s="22"/>
      <c r="L20" s="22"/>
    </row>
    <row r="21" spans="1:18">
      <c r="A21" s="22"/>
      <c r="B21" s="628">
        <v>2015</v>
      </c>
      <c r="C21" s="1755">
        <v>7283</v>
      </c>
      <c r="D21" s="1755"/>
      <c r="E21" s="22"/>
      <c r="F21" s="22"/>
      <c r="G21" s="22"/>
      <c r="H21" s="22"/>
      <c r="I21" s="22"/>
      <c r="J21" s="22"/>
      <c r="K21" s="22"/>
      <c r="L21" s="22"/>
    </row>
    <row r="22" spans="1:18">
      <c r="A22" s="22"/>
      <c r="B22" s="628">
        <v>2016</v>
      </c>
      <c r="C22" s="1755">
        <v>7923</v>
      </c>
      <c r="D22" s="1755"/>
      <c r="E22" s="22"/>
      <c r="F22" s="22"/>
      <c r="G22" s="22"/>
      <c r="H22" s="22"/>
      <c r="I22" s="22"/>
      <c r="J22" s="22"/>
      <c r="K22" s="22"/>
      <c r="L22" s="22"/>
    </row>
    <row r="23" spans="1:18">
      <c r="A23" s="22"/>
      <c r="B23" s="628">
        <v>2017</v>
      </c>
      <c r="C23" s="1755">
        <v>6572</v>
      </c>
      <c r="D23" s="1755"/>
      <c r="E23" s="22"/>
      <c r="F23" s="22"/>
      <c r="G23" s="22"/>
      <c r="H23" s="22"/>
      <c r="I23" s="22"/>
      <c r="J23" s="22"/>
      <c r="K23" s="22"/>
      <c r="L23" s="22"/>
    </row>
    <row r="24" spans="1:18">
      <c r="A24" s="22"/>
      <c r="B24" s="628">
        <v>2018</v>
      </c>
      <c r="C24" s="1755">
        <v>6335</v>
      </c>
      <c r="D24" s="1755"/>
      <c r="E24" s="22"/>
      <c r="F24" s="22"/>
      <c r="G24" s="22"/>
      <c r="H24" s="22"/>
      <c r="I24" s="22"/>
      <c r="J24" s="22"/>
      <c r="K24" s="22"/>
      <c r="L24" s="22"/>
    </row>
    <row r="25" spans="1:18">
      <c r="A25" s="22"/>
      <c r="B25" s="628">
        <v>2019</v>
      </c>
      <c r="C25" s="1755">
        <v>5129</v>
      </c>
      <c r="D25" s="1755"/>
      <c r="E25" s="22"/>
      <c r="F25" s="22"/>
      <c r="G25" s="22"/>
      <c r="H25" s="22"/>
      <c r="I25" s="22"/>
      <c r="J25" s="22"/>
      <c r="K25" s="22"/>
      <c r="L25" s="22"/>
    </row>
    <row r="26" spans="1:18">
      <c r="A26" s="22"/>
      <c r="B26" s="22"/>
      <c r="C26" s="22"/>
      <c r="D26" s="22"/>
      <c r="E26" s="22"/>
      <c r="F26" s="22"/>
      <c r="G26" s="22"/>
      <c r="H26" s="22"/>
      <c r="I26" s="22"/>
      <c r="J26" s="22"/>
      <c r="K26" s="22"/>
      <c r="L26" s="22"/>
    </row>
    <row r="27" spans="1:18">
      <c r="A27" s="418"/>
      <c r="B27" s="418"/>
      <c r="C27" s="418"/>
      <c r="D27" s="418"/>
      <c r="E27" s="418"/>
      <c r="F27" s="418"/>
      <c r="G27" s="418"/>
      <c r="H27" s="418"/>
      <c r="I27" s="418"/>
      <c r="J27" s="418"/>
      <c r="K27" s="418"/>
      <c r="L27" s="418"/>
    </row>
    <row r="28" spans="1:18">
      <c r="A28" s="577" t="s">
        <v>80</v>
      </c>
      <c r="B28" s="1724" t="s">
        <v>1087</v>
      </c>
      <c r="C28" s="1764"/>
      <c r="D28" s="1764"/>
      <c r="E28" s="1764"/>
      <c r="F28" s="1764"/>
      <c r="G28" s="1764"/>
      <c r="H28" s="1764"/>
      <c r="I28" s="1764"/>
      <c r="J28" s="1764"/>
      <c r="K28" s="1764"/>
      <c r="L28" s="1764"/>
      <c r="M28" s="328"/>
      <c r="N28" s="328"/>
      <c r="O28" s="328"/>
      <c r="P28" s="328"/>
      <c r="Q28" s="328"/>
      <c r="R28" s="328"/>
    </row>
    <row r="29" spans="1:18">
      <c r="A29" s="577"/>
      <c r="B29" s="1764"/>
      <c r="C29" s="1764"/>
      <c r="D29" s="1764"/>
      <c r="E29" s="1764"/>
      <c r="F29" s="1764"/>
      <c r="G29" s="1764"/>
      <c r="H29" s="1764"/>
      <c r="I29" s="1764"/>
      <c r="J29" s="1764"/>
      <c r="K29" s="1764"/>
      <c r="L29" s="1764"/>
      <c r="M29" s="328"/>
      <c r="N29" s="328"/>
      <c r="O29" s="328"/>
      <c r="P29" s="328"/>
      <c r="Q29" s="328"/>
      <c r="R29" s="328"/>
    </row>
    <row r="30" spans="1:18">
      <c r="A30" s="2"/>
      <c r="B30" s="2"/>
      <c r="C30" s="2"/>
      <c r="D30" s="2"/>
      <c r="E30" s="2"/>
      <c r="F30" s="2"/>
      <c r="G30" s="22"/>
      <c r="H30" s="22"/>
      <c r="I30" s="22"/>
      <c r="J30" s="22"/>
      <c r="K30" s="22"/>
      <c r="L30" s="22"/>
    </row>
    <row r="31" spans="1:18">
      <c r="A31" s="37"/>
      <c r="B31" s="37"/>
      <c r="C31" s="37"/>
      <c r="D31" s="37"/>
      <c r="E31" s="37"/>
      <c r="F31" s="37"/>
      <c r="G31" s="37"/>
      <c r="H31" s="37"/>
      <c r="I31" s="37"/>
      <c r="J31" s="37"/>
      <c r="K31" s="37"/>
      <c r="L31" s="37"/>
      <c r="M31" s="37"/>
    </row>
    <row r="32" spans="1:18">
      <c r="A32" s="37" t="s">
        <v>650</v>
      </c>
      <c r="B32" s="37"/>
      <c r="C32" s="37"/>
      <c r="D32" s="37"/>
      <c r="E32" s="37"/>
      <c r="F32" s="37"/>
      <c r="G32" s="37"/>
      <c r="H32" s="37"/>
      <c r="I32" s="37"/>
      <c r="J32" s="37"/>
      <c r="K32" s="37"/>
      <c r="L32" s="37"/>
      <c r="M32" s="37"/>
      <c r="N32" s="328"/>
    </row>
    <row r="33" spans="1:14" ht="46.8">
      <c r="B33" s="576" t="s">
        <v>47</v>
      </c>
      <c r="C33" s="805" t="s">
        <v>115</v>
      </c>
      <c r="D33" s="806" t="s">
        <v>1086</v>
      </c>
      <c r="E33" s="806" t="s">
        <v>1085</v>
      </c>
      <c r="F33" s="806" t="s">
        <v>1084</v>
      </c>
      <c r="G33" s="806" t="s">
        <v>1083</v>
      </c>
      <c r="H33" s="806" t="s">
        <v>1082</v>
      </c>
      <c r="I33" s="806" t="s">
        <v>1081</v>
      </c>
      <c r="J33" s="805" t="s">
        <v>256</v>
      </c>
      <c r="K33" s="37"/>
      <c r="L33" s="37"/>
      <c r="M33" s="37"/>
      <c r="N33" s="328"/>
    </row>
    <row r="34" spans="1:14">
      <c r="B34" s="327">
        <v>2014</v>
      </c>
      <c r="C34" s="634">
        <f t="shared" ref="C34:C39" si="0">I7</f>
        <v>6557</v>
      </c>
      <c r="D34" s="634">
        <f>H7</f>
        <v>6557</v>
      </c>
      <c r="E34" s="634">
        <f t="shared" ref="E34:E39" si="1">C20</f>
        <v>6557</v>
      </c>
      <c r="F34" s="652">
        <f t="shared" ref="F34:F39" si="2">D34/C34</f>
        <v>1</v>
      </c>
      <c r="G34" s="652">
        <f>F34</f>
        <v>1</v>
      </c>
      <c r="H34" s="634">
        <f>C34*(G34-F34)</f>
        <v>0</v>
      </c>
      <c r="I34" s="634">
        <f t="shared" ref="I34:I39" si="3">E34-D34</f>
        <v>0</v>
      </c>
      <c r="J34" s="634">
        <f t="shared" ref="J34:J39" si="4">I34-H34</f>
        <v>0</v>
      </c>
      <c r="K34" s="37"/>
      <c r="L34" s="37"/>
      <c r="M34" s="37"/>
      <c r="N34" s="328"/>
    </row>
    <row r="35" spans="1:14">
      <c r="B35" s="327">
        <v>2015</v>
      </c>
      <c r="C35" s="634">
        <f t="shared" si="0"/>
        <v>7293</v>
      </c>
      <c r="D35" s="634">
        <f>G8</f>
        <v>7242</v>
      </c>
      <c r="E35" s="634">
        <f t="shared" si="1"/>
        <v>7283</v>
      </c>
      <c r="F35" s="652">
        <f t="shared" si="2"/>
        <v>0.99300699300699302</v>
      </c>
      <c r="G35" s="652">
        <f>(3/12)*F35+(9/12)*F34</f>
        <v>0.99825174825174823</v>
      </c>
      <c r="H35" s="634">
        <f>(C35-D35)*(G35-F35)/(1-F35)</f>
        <v>38.249999999999801</v>
      </c>
      <c r="I35" s="634">
        <f t="shared" si="3"/>
        <v>41</v>
      </c>
      <c r="J35" s="634">
        <f t="shared" si="4"/>
        <v>2.750000000000199</v>
      </c>
      <c r="K35" s="37"/>
      <c r="L35" s="37"/>
      <c r="M35" s="37"/>
      <c r="N35" s="328"/>
    </row>
    <row r="36" spans="1:14">
      <c r="B36" s="327">
        <v>2016</v>
      </c>
      <c r="C36" s="634">
        <f t="shared" si="0"/>
        <v>8087</v>
      </c>
      <c r="D36" s="634">
        <f>F9</f>
        <v>7544</v>
      </c>
      <c r="E36" s="634">
        <f t="shared" si="1"/>
        <v>7923</v>
      </c>
      <c r="F36" s="652">
        <f t="shared" si="2"/>
        <v>0.93285519970322739</v>
      </c>
      <c r="G36" s="652">
        <f>(3/12)*F36+(9/12)*F35</f>
        <v>0.97796904468105161</v>
      </c>
      <c r="H36" s="634">
        <f>(C36-D36)*(G36-F36)/(1-F36)</f>
        <v>364.83566433566443</v>
      </c>
      <c r="I36" s="634">
        <f t="shared" si="3"/>
        <v>379</v>
      </c>
      <c r="J36" s="634">
        <f t="shared" si="4"/>
        <v>14.164335664335567</v>
      </c>
      <c r="K36" s="37"/>
      <c r="L36" s="37"/>
      <c r="M36" s="37"/>
      <c r="N36" s="328"/>
    </row>
    <row r="37" spans="1:14">
      <c r="B37" s="327">
        <v>2017</v>
      </c>
      <c r="C37" s="634">
        <f t="shared" si="0"/>
        <v>7150</v>
      </c>
      <c r="D37" s="634">
        <f>E10</f>
        <v>5988</v>
      </c>
      <c r="E37" s="634">
        <f t="shared" si="1"/>
        <v>6572</v>
      </c>
      <c r="F37" s="652">
        <f t="shared" si="2"/>
        <v>0.83748251748251745</v>
      </c>
      <c r="G37" s="652">
        <f>(3/12)*F37+(9/12)*F36</f>
        <v>0.9090120291480499</v>
      </c>
      <c r="H37" s="634">
        <f>(C37-D37)*(G37-F37)/(1-F37)</f>
        <v>511.43600840855697</v>
      </c>
      <c r="I37" s="634">
        <f t="shared" si="3"/>
        <v>584</v>
      </c>
      <c r="J37" s="634">
        <f t="shared" si="4"/>
        <v>72.563991591443028</v>
      </c>
      <c r="K37" s="37"/>
      <c r="L37" s="37"/>
      <c r="M37" s="37"/>
      <c r="N37" s="328"/>
    </row>
    <row r="38" spans="1:14">
      <c r="B38" s="327">
        <v>2018</v>
      </c>
      <c r="C38" s="634">
        <f t="shared" si="0"/>
        <v>7572</v>
      </c>
      <c r="D38" s="634">
        <f>D11</f>
        <v>5018</v>
      </c>
      <c r="E38" s="634">
        <f t="shared" si="1"/>
        <v>6335</v>
      </c>
      <c r="F38" s="652">
        <f t="shared" si="2"/>
        <v>0.66270470153195982</v>
      </c>
      <c r="G38" s="652">
        <f>(3/12)*F38+(9/12)*F37</f>
        <v>0.79378806349487807</v>
      </c>
      <c r="H38" s="634">
        <f>(C38-D38)*(G38-F38)/(1-F38)</f>
        <v>992.56321678321694</v>
      </c>
      <c r="I38" s="634">
        <f t="shared" si="3"/>
        <v>1317</v>
      </c>
      <c r="J38" s="634">
        <f t="shared" si="4"/>
        <v>324.43678321678306</v>
      </c>
      <c r="K38" s="37"/>
      <c r="L38" s="37"/>
      <c r="M38" s="37"/>
      <c r="N38" s="328"/>
    </row>
    <row r="39" spans="1:14">
      <c r="B39" s="576">
        <v>2019</v>
      </c>
      <c r="C39" s="635">
        <f t="shared" si="0"/>
        <v>7875</v>
      </c>
      <c r="D39" s="635">
        <f>C12</f>
        <v>3537</v>
      </c>
      <c r="E39" s="635">
        <f t="shared" si="1"/>
        <v>5129</v>
      </c>
      <c r="F39" s="650">
        <f t="shared" si="2"/>
        <v>0.44914285714285712</v>
      </c>
      <c r="G39" s="650">
        <f>(3/12)*F39+(9/12)*F38</f>
        <v>0.60931424043468418</v>
      </c>
      <c r="H39" s="635">
        <f>(C39-D39)*(G39-F39)/(1-F39)</f>
        <v>1261.3496434231381</v>
      </c>
      <c r="I39" s="635">
        <f t="shared" si="3"/>
        <v>1592</v>
      </c>
      <c r="J39" s="635">
        <f t="shared" si="4"/>
        <v>330.6503565768619</v>
      </c>
      <c r="K39" s="37"/>
      <c r="L39" s="37"/>
      <c r="M39" s="37"/>
      <c r="N39" s="328"/>
    </row>
    <row r="40" spans="1:14">
      <c r="B40" s="327" t="s">
        <v>98</v>
      </c>
      <c r="C40" s="634">
        <f>SUM(C34:C39)</f>
        <v>44534</v>
      </c>
      <c r="D40" s="634">
        <f>SUM(D34:D39)</f>
        <v>35886</v>
      </c>
      <c r="E40" s="634">
        <f>SUM(E34:E39)</f>
        <v>39799</v>
      </c>
      <c r="F40" s="634"/>
      <c r="G40" s="634"/>
      <c r="H40" s="634">
        <f>SUM(H34:H39)</f>
        <v>3168.4345329505759</v>
      </c>
      <c r="I40" s="634">
        <f>SUM(I34:I39)</f>
        <v>3913</v>
      </c>
      <c r="J40" s="634">
        <f>SUM(J34:J39)</f>
        <v>744.56546704942377</v>
      </c>
      <c r="K40" s="37"/>
      <c r="L40" s="37"/>
      <c r="M40" s="37"/>
      <c r="N40" s="328"/>
    </row>
    <row r="41" spans="1:14">
      <c r="M41" s="328"/>
      <c r="N41" s="328"/>
    </row>
    <row r="42" spans="1:14">
      <c r="A42" s="341" t="s">
        <v>666</v>
      </c>
      <c r="B42" s="2"/>
      <c r="C42" s="2"/>
      <c r="D42" s="2"/>
      <c r="E42" s="2"/>
      <c r="F42" s="2"/>
      <c r="G42" s="2"/>
      <c r="H42" s="2"/>
      <c r="I42" s="2"/>
      <c r="J42" s="2"/>
      <c r="K42" s="2"/>
      <c r="L42" s="2"/>
      <c r="M42" s="328"/>
      <c r="N42" s="328"/>
    </row>
    <row r="43" spans="1:14">
      <c r="A43" s="2"/>
      <c r="B43" s="2"/>
      <c r="C43" s="2"/>
      <c r="D43" s="2"/>
      <c r="E43" s="2"/>
      <c r="F43" s="2"/>
      <c r="G43" s="2"/>
      <c r="H43" s="2"/>
      <c r="I43" s="2"/>
      <c r="J43" s="2"/>
      <c r="K43" s="2"/>
      <c r="L43" s="2"/>
    </row>
    <row r="44" spans="1:14">
      <c r="A44" s="1724" t="s">
        <v>1080</v>
      </c>
      <c r="B44" s="1766"/>
      <c r="C44" s="1766"/>
      <c r="D44" s="1766"/>
      <c r="E44" s="1766"/>
      <c r="F44" s="1766"/>
      <c r="G44" s="1766"/>
      <c r="H44" s="1766"/>
      <c r="I44" s="1766"/>
      <c r="J44" s="1766"/>
      <c r="K44" s="1766"/>
      <c r="L44" s="1766"/>
    </row>
    <row r="45" spans="1:14">
      <c r="A45" s="1766"/>
      <c r="B45" s="1766"/>
      <c r="C45" s="1766"/>
      <c r="D45" s="1766"/>
      <c r="E45" s="1766"/>
      <c r="F45" s="1766"/>
      <c r="G45" s="1766"/>
      <c r="H45" s="1766"/>
      <c r="I45" s="1766"/>
      <c r="J45" s="1766"/>
      <c r="K45" s="1766"/>
      <c r="L45" s="1766"/>
    </row>
    <row r="46" spans="1:14">
      <c r="A46" s="22"/>
      <c r="B46" s="22"/>
      <c r="C46" s="22"/>
      <c r="D46" s="22"/>
      <c r="E46" s="22"/>
      <c r="F46" s="22"/>
      <c r="G46" s="22"/>
      <c r="H46" s="22"/>
      <c r="I46" s="22"/>
      <c r="J46" s="22"/>
      <c r="K46" s="22"/>
      <c r="L46" s="22"/>
    </row>
    <row r="47" spans="1:14">
      <c r="A47" s="22" t="s">
        <v>1079</v>
      </c>
      <c r="B47" s="22"/>
      <c r="C47" s="22"/>
      <c r="D47" s="22"/>
      <c r="E47" s="22"/>
      <c r="F47" s="22"/>
      <c r="G47" s="22"/>
      <c r="H47" s="22"/>
      <c r="I47" s="22"/>
      <c r="J47" s="22"/>
      <c r="K47" s="22"/>
      <c r="L47" s="22"/>
    </row>
    <row r="48" spans="1:14">
      <c r="A48" s="22"/>
      <c r="B48" s="22"/>
      <c r="C48" s="22"/>
      <c r="D48" s="22"/>
      <c r="E48" s="22"/>
      <c r="F48" s="22"/>
      <c r="G48" s="22"/>
      <c r="H48" s="22"/>
      <c r="I48" s="22"/>
      <c r="J48" s="22"/>
      <c r="K48" s="22"/>
      <c r="L48" s="22"/>
    </row>
    <row r="49" spans="1:12">
      <c r="A49" s="22"/>
      <c r="B49" s="533" t="s">
        <v>1068</v>
      </c>
      <c r="C49" s="1698" t="s">
        <v>1078</v>
      </c>
      <c r="D49" s="1751"/>
      <c r="E49" s="1751"/>
      <c r="F49" s="1751"/>
      <c r="G49" s="1751"/>
      <c r="H49" s="1751"/>
      <c r="I49" s="22"/>
      <c r="J49" s="22"/>
      <c r="K49" s="22"/>
      <c r="L49" s="22"/>
    </row>
    <row r="50" spans="1:12">
      <c r="A50" s="22"/>
      <c r="B50" s="532" t="s">
        <v>76</v>
      </c>
      <c r="C50" s="337">
        <v>12</v>
      </c>
      <c r="D50" s="334">
        <v>24</v>
      </c>
      <c r="E50" s="334">
        <v>36</v>
      </c>
      <c r="F50" s="334">
        <v>48</v>
      </c>
      <c r="G50" s="334">
        <v>60</v>
      </c>
      <c r="H50" s="334">
        <v>72</v>
      </c>
      <c r="I50" s="22"/>
      <c r="J50" s="22"/>
      <c r="K50" s="22"/>
      <c r="L50" s="22"/>
    </row>
    <row r="51" spans="1:12">
      <c r="A51" s="22"/>
      <c r="B51" s="803">
        <v>2014</v>
      </c>
      <c r="C51" s="526">
        <v>1377</v>
      </c>
      <c r="D51" s="526">
        <v>2616</v>
      </c>
      <c r="E51" s="526">
        <v>3958</v>
      </c>
      <c r="F51" s="526">
        <v>4809</v>
      </c>
      <c r="G51" s="526">
        <v>5675</v>
      </c>
      <c r="H51" s="526">
        <v>6010</v>
      </c>
      <c r="I51" s="22"/>
      <c r="J51" s="22"/>
      <c r="K51" s="22"/>
      <c r="L51" s="22"/>
    </row>
    <row r="52" spans="1:12">
      <c r="A52" s="22"/>
      <c r="B52" s="628">
        <v>2015</v>
      </c>
      <c r="C52" s="526">
        <v>1553</v>
      </c>
      <c r="D52" s="526">
        <v>2928</v>
      </c>
      <c r="E52" s="526">
        <v>4381</v>
      </c>
      <c r="F52" s="526">
        <v>5275</v>
      </c>
      <c r="G52" s="526">
        <v>6221</v>
      </c>
      <c r="H52" s="628"/>
      <c r="I52" s="22"/>
      <c r="J52" s="22"/>
      <c r="K52" s="22"/>
      <c r="L52" s="22"/>
    </row>
    <row r="53" spans="1:12">
      <c r="A53" s="22"/>
      <c r="B53" s="628">
        <v>2016</v>
      </c>
      <c r="C53" s="526">
        <v>1692</v>
      </c>
      <c r="D53" s="526">
        <v>3238</v>
      </c>
      <c r="E53" s="526">
        <v>4860</v>
      </c>
      <c r="F53" s="526">
        <v>5887</v>
      </c>
      <c r="G53" s="628"/>
      <c r="H53" s="628"/>
      <c r="I53" s="22"/>
      <c r="J53" s="22"/>
      <c r="K53" s="22"/>
      <c r="L53" s="22"/>
    </row>
    <row r="54" spans="1:12">
      <c r="A54" s="22"/>
      <c r="B54" s="628">
        <v>2017</v>
      </c>
      <c r="C54" s="526">
        <v>1446</v>
      </c>
      <c r="D54" s="526">
        <v>2749</v>
      </c>
      <c r="E54" s="526">
        <v>4152</v>
      </c>
      <c r="F54" s="802"/>
      <c r="G54" s="802"/>
      <c r="H54" s="802"/>
      <c r="I54" s="22"/>
      <c r="J54" s="22"/>
      <c r="K54" s="22"/>
      <c r="L54" s="22"/>
    </row>
    <row r="55" spans="1:12">
      <c r="A55" s="22"/>
      <c r="B55" s="628">
        <v>2018</v>
      </c>
      <c r="C55" s="526">
        <v>1496</v>
      </c>
      <c r="D55" s="526">
        <v>2849</v>
      </c>
      <c r="E55" s="628"/>
      <c r="F55" s="802"/>
      <c r="G55" s="802"/>
      <c r="H55" s="802"/>
      <c r="I55" s="22"/>
      <c r="J55" s="22"/>
      <c r="K55" s="22"/>
      <c r="L55" s="22"/>
    </row>
    <row r="56" spans="1:12">
      <c r="A56" s="22"/>
      <c r="B56" s="628">
        <v>2019</v>
      </c>
      <c r="C56" s="526">
        <v>1448</v>
      </c>
      <c r="D56" s="628"/>
      <c r="E56" s="628"/>
      <c r="F56" s="802"/>
      <c r="G56" s="802"/>
      <c r="H56" s="802"/>
      <c r="I56" s="22"/>
      <c r="J56" s="22"/>
      <c r="K56" s="22"/>
      <c r="L56" s="22"/>
    </row>
    <row r="57" spans="1:12">
      <c r="A57" s="22"/>
      <c r="B57" s="376"/>
      <c r="C57" s="325"/>
      <c r="D57" s="325"/>
      <c r="E57" s="325"/>
      <c r="F57" s="325"/>
      <c r="G57" s="325"/>
      <c r="H57" s="325"/>
      <c r="I57" s="22"/>
      <c r="J57" s="22"/>
      <c r="K57" s="22"/>
      <c r="L57" s="22"/>
    </row>
    <row r="58" spans="1:12" ht="16.2" customHeight="1">
      <c r="A58" s="22"/>
      <c r="B58" s="533" t="s">
        <v>1068</v>
      </c>
      <c r="C58" s="1698" t="s">
        <v>1077</v>
      </c>
      <c r="D58" s="1751"/>
      <c r="E58" s="1751"/>
      <c r="F58" s="1751"/>
      <c r="G58" s="1751"/>
      <c r="H58" s="1751"/>
      <c r="I58" s="22"/>
      <c r="J58" s="22"/>
      <c r="K58" s="22"/>
      <c r="L58" s="22"/>
    </row>
    <row r="59" spans="1:12">
      <c r="A59" s="22"/>
      <c r="B59" s="532" t="s">
        <v>76</v>
      </c>
      <c r="C59" s="337">
        <v>12</v>
      </c>
      <c r="D59" s="334">
        <v>24</v>
      </c>
      <c r="E59" s="334">
        <v>36</v>
      </c>
      <c r="F59" s="334">
        <v>48</v>
      </c>
      <c r="G59" s="334">
        <v>60</v>
      </c>
      <c r="H59" s="334">
        <v>72</v>
      </c>
      <c r="I59" s="22"/>
      <c r="J59" s="22"/>
      <c r="K59" s="22"/>
      <c r="L59" s="22"/>
    </row>
    <row r="60" spans="1:12">
      <c r="A60" s="22"/>
      <c r="B60" s="803">
        <v>2014</v>
      </c>
      <c r="C60" s="526">
        <v>477</v>
      </c>
      <c r="D60" s="526">
        <v>666</v>
      </c>
      <c r="E60" s="526">
        <v>727</v>
      </c>
      <c r="F60" s="526">
        <v>753</v>
      </c>
      <c r="G60" s="526">
        <v>781</v>
      </c>
      <c r="H60" s="526">
        <v>796</v>
      </c>
      <c r="I60" s="22"/>
      <c r="J60" s="22"/>
      <c r="K60" s="22"/>
      <c r="L60" s="22"/>
    </row>
    <row r="61" spans="1:12">
      <c r="A61" s="22"/>
      <c r="B61" s="628">
        <v>2015</v>
      </c>
      <c r="C61" s="526">
        <v>487</v>
      </c>
      <c r="D61" s="526">
        <v>697</v>
      </c>
      <c r="E61" s="526">
        <v>762</v>
      </c>
      <c r="F61" s="526">
        <v>786</v>
      </c>
      <c r="G61" s="526">
        <v>806</v>
      </c>
      <c r="H61" s="628"/>
      <c r="I61" s="22"/>
      <c r="J61" s="22"/>
      <c r="K61" s="22"/>
      <c r="L61" s="22"/>
    </row>
    <row r="62" spans="1:12">
      <c r="A62" s="22"/>
      <c r="B62" s="628">
        <v>2016</v>
      </c>
      <c r="C62" s="526">
        <v>521</v>
      </c>
      <c r="D62" s="526">
        <v>736</v>
      </c>
      <c r="E62" s="526">
        <v>802</v>
      </c>
      <c r="F62" s="526">
        <v>827</v>
      </c>
      <c r="G62" s="628"/>
      <c r="H62" s="628"/>
      <c r="I62" s="22"/>
      <c r="J62" s="22"/>
      <c r="K62" s="22"/>
      <c r="L62" s="22"/>
    </row>
    <row r="63" spans="1:12">
      <c r="A63" s="22"/>
      <c r="B63" s="628">
        <v>2017</v>
      </c>
      <c r="C63" s="526">
        <v>457</v>
      </c>
      <c r="D63" s="526">
        <v>640</v>
      </c>
      <c r="E63" s="526">
        <v>697</v>
      </c>
      <c r="F63" s="802"/>
      <c r="G63" s="802"/>
      <c r="H63" s="802"/>
      <c r="I63" s="22"/>
      <c r="J63" s="22"/>
      <c r="K63" s="22"/>
      <c r="L63" s="22"/>
    </row>
    <row r="64" spans="1:12">
      <c r="A64" s="22"/>
      <c r="B64" s="628">
        <v>2018</v>
      </c>
      <c r="C64" s="526">
        <v>452</v>
      </c>
      <c r="D64" s="526">
        <v>641</v>
      </c>
      <c r="E64" s="628"/>
      <c r="F64" s="802"/>
      <c r="G64" s="802"/>
      <c r="H64" s="802"/>
      <c r="I64" s="22"/>
      <c r="J64" s="22"/>
      <c r="K64" s="22"/>
      <c r="L64" s="22"/>
    </row>
    <row r="65" spans="1:12">
      <c r="A65" s="22"/>
      <c r="B65" s="628">
        <v>2019</v>
      </c>
      <c r="C65" s="526">
        <v>447</v>
      </c>
      <c r="D65" s="628"/>
      <c r="E65" s="628"/>
      <c r="F65" s="802"/>
      <c r="G65" s="802"/>
      <c r="H65" s="802"/>
      <c r="I65" s="22"/>
      <c r="J65" s="22"/>
      <c r="K65" s="22"/>
      <c r="L65" s="22"/>
    </row>
    <row r="66" spans="1:12">
      <c r="A66" s="22"/>
      <c r="B66" s="804"/>
      <c r="C66" s="325"/>
      <c r="D66" s="325"/>
      <c r="E66" s="325"/>
      <c r="F66" s="325"/>
      <c r="G66" s="325"/>
      <c r="H66" s="325"/>
      <c r="I66" s="22"/>
      <c r="J66" s="22"/>
      <c r="K66" s="22"/>
      <c r="L66" s="22"/>
    </row>
    <row r="67" spans="1:12" ht="16.2" customHeight="1">
      <c r="A67" s="22"/>
      <c r="B67" s="533" t="s">
        <v>1068</v>
      </c>
      <c r="C67" s="1698" t="s">
        <v>1076</v>
      </c>
      <c r="D67" s="1751"/>
      <c r="E67" s="1751"/>
      <c r="F67" s="1751"/>
      <c r="G67" s="1751"/>
      <c r="H67" s="1751"/>
      <c r="I67" s="22"/>
      <c r="J67" s="22"/>
      <c r="K67" s="22"/>
      <c r="L67" s="22"/>
    </row>
    <row r="68" spans="1:12">
      <c r="A68" s="22"/>
      <c r="B68" s="532" t="s">
        <v>76</v>
      </c>
      <c r="C68" s="337">
        <v>12</v>
      </c>
      <c r="D68" s="334">
        <v>24</v>
      </c>
      <c r="E68" s="334">
        <v>36</v>
      </c>
      <c r="F68" s="334">
        <v>48</v>
      </c>
      <c r="G68" s="334">
        <v>60</v>
      </c>
      <c r="H68" s="334">
        <v>72</v>
      </c>
      <c r="I68" s="22"/>
      <c r="J68" s="22"/>
      <c r="K68" s="22"/>
      <c r="L68" s="22"/>
    </row>
    <row r="69" spans="1:12">
      <c r="A69" s="22"/>
      <c r="B69" s="803">
        <v>2014</v>
      </c>
      <c r="C69" s="526">
        <v>297</v>
      </c>
      <c r="D69" s="526">
        <v>176</v>
      </c>
      <c r="E69" s="526">
        <v>126</v>
      </c>
      <c r="F69" s="526">
        <v>100</v>
      </c>
      <c r="G69" s="526">
        <v>72</v>
      </c>
      <c r="H69" s="526">
        <v>57</v>
      </c>
      <c r="I69" s="22"/>
      <c r="J69" s="22"/>
      <c r="K69" s="22"/>
      <c r="L69" s="22"/>
    </row>
    <row r="70" spans="1:12">
      <c r="A70" s="22"/>
      <c r="B70" s="628">
        <v>2015</v>
      </c>
      <c r="C70" s="526">
        <v>320</v>
      </c>
      <c r="D70" s="526">
        <v>186</v>
      </c>
      <c r="E70" s="526">
        <v>128</v>
      </c>
      <c r="F70" s="526">
        <v>104</v>
      </c>
      <c r="G70" s="526">
        <v>84</v>
      </c>
      <c r="H70" s="628"/>
      <c r="I70" s="22"/>
      <c r="J70" s="22"/>
      <c r="K70" s="22"/>
      <c r="L70" s="22"/>
    </row>
    <row r="71" spans="1:12">
      <c r="A71" s="22"/>
      <c r="B71" s="628">
        <v>2016</v>
      </c>
      <c r="C71" s="526">
        <v>309</v>
      </c>
      <c r="D71" s="526">
        <v>191</v>
      </c>
      <c r="E71" s="526">
        <v>136</v>
      </c>
      <c r="F71" s="526">
        <v>111</v>
      </c>
      <c r="G71" s="628"/>
      <c r="H71" s="628"/>
      <c r="I71" s="22"/>
      <c r="J71" s="22"/>
      <c r="K71" s="22"/>
      <c r="L71" s="22"/>
    </row>
    <row r="72" spans="1:12">
      <c r="A72" s="22"/>
      <c r="B72" s="628">
        <v>2017</v>
      </c>
      <c r="C72" s="526">
        <v>277</v>
      </c>
      <c r="D72" s="526">
        <v>157</v>
      </c>
      <c r="E72" s="526">
        <v>111</v>
      </c>
      <c r="F72" s="802"/>
      <c r="G72" s="802"/>
      <c r="H72" s="802"/>
      <c r="I72" s="22"/>
      <c r="J72" s="22"/>
      <c r="K72" s="22"/>
      <c r="L72" s="22"/>
    </row>
    <row r="73" spans="1:12">
      <c r="A73" s="22"/>
      <c r="B73" s="628">
        <v>2018</v>
      </c>
      <c r="C73" s="526">
        <v>272</v>
      </c>
      <c r="D73" s="526">
        <v>158</v>
      </c>
      <c r="E73" s="628"/>
      <c r="F73" s="802"/>
      <c r="G73" s="802"/>
      <c r="H73" s="802"/>
      <c r="I73" s="22"/>
      <c r="J73" s="22"/>
      <c r="K73" s="22"/>
      <c r="L73" s="22"/>
    </row>
    <row r="74" spans="1:12">
      <c r="A74" s="22"/>
      <c r="B74" s="628">
        <v>2019</v>
      </c>
      <c r="C74" s="526">
        <v>267</v>
      </c>
      <c r="D74" s="628"/>
      <c r="E74" s="628"/>
      <c r="F74" s="802"/>
      <c r="G74" s="802"/>
      <c r="H74" s="802"/>
      <c r="I74" s="22"/>
      <c r="J74" s="22"/>
      <c r="K74" s="22"/>
      <c r="L74" s="22"/>
    </row>
    <row r="75" spans="1:12">
      <c r="A75" s="22"/>
      <c r="B75" s="22"/>
      <c r="C75" s="22"/>
      <c r="D75" s="22"/>
      <c r="E75" s="22"/>
      <c r="F75" s="22"/>
      <c r="G75" s="22"/>
      <c r="H75" s="22"/>
      <c r="I75" s="22"/>
      <c r="J75" s="22"/>
      <c r="K75" s="22"/>
      <c r="L75" s="22"/>
    </row>
    <row r="76" spans="1:12">
      <c r="A76" s="2"/>
      <c r="B76" s="2"/>
      <c r="C76" s="2"/>
      <c r="D76" s="2"/>
      <c r="E76" s="2"/>
      <c r="F76" s="2"/>
      <c r="G76" s="2"/>
      <c r="H76" s="2"/>
      <c r="I76" s="2"/>
      <c r="J76" s="2"/>
      <c r="K76" s="2"/>
      <c r="L76" s="2"/>
    </row>
    <row r="77" spans="1:12">
      <c r="A77" s="577" t="s">
        <v>7</v>
      </c>
      <c r="B77" s="22" t="s">
        <v>1075</v>
      </c>
      <c r="C77" s="22"/>
      <c r="D77" s="22"/>
      <c r="E77" s="22"/>
      <c r="F77" s="22"/>
      <c r="G77" s="22"/>
      <c r="H77" s="22"/>
      <c r="I77" s="22"/>
      <c r="J77" s="22"/>
      <c r="K77" s="22"/>
      <c r="L77" s="22"/>
    </row>
    <row r="78" spans="1:12">
      <c r="A78" s="2"/>
      <c r="B78" s="2"/>
      <c r="C78" s="2"/>
      <c r="D78" s="2"/>
      <c r="E78" s="2"/>
      <c r="F78" s="2"/>
      <c r="G78" s="22"/>
      <c r="H78" s="22"/>
      <c r="I78" s="22"/>
      <c r="J78" s="22"/>
      <c r="K78" s="22"/>
      <c r="L78" s="22"/>
    </row>
    <row r="79" spans="1:12">
      <c r="A79" s="37"/>
      <c r="B79" s="37"/>
      <c r="C79" s="37"/>
      <c r="D79" s="37"/>
      <c r="E79" s="37"/>
      <c r="F79" s="37"/>
      <c r="G79" s="37"/>
      <c r="H79" s="37"/>
      <c r="I79" s="37"/>
      <c r="J79" s="37"/>
      <c r="K79" s="37"/>
      <c r="L79" s="37"/>
    </row>
    <row r="80" spans="1:12">
      <c r="A80" s="37" t="s">
        <v>650</v>
      </c>
      <c r="B80" s="37"/>
      <c r="C80" s="37"/>
      <c r="D80" s="37"/>
      <c r="E80" s="37"/>
      <c r="F80" s="37"/>
      <c r="G80" s="37"/>
      <c r="H80" s="37"/>
      <c r="I80" s="37"/>
      <c r="J80" s="37"/>
      <c r="K80" s="37"/>
      <c r="L80" s="37"/>
    </row>
    <row r="81" spans="1:14">
      <c r="A81" s="37"/>
      <c r="B81" s="37"/>
      <c r="C81" s="37"/>
      <c r="D81" s="37"/>
      <c r="E81" s="37"/>
      <c r="F81" s="37"/>
      <c r="G81" s="37"/>
      <c r="H81" s="37"/>
      <c r="I81" s="37"/>
      <c r="J81" s="37"/>
      <c r="K81" s="37"/>
      <c r="L81" s="37"/>
    </row>
    <row r="82" spans="1:14">
      <c r="A82" s="37"/>
      <c r="B82" s="1838" t="s">
        <v>1074</v>
      </c>
      <c r="C82" s="1838"/>
      <c r="D82" s="1838"/>
      <c r="E82" s="1838"/>
      <c r="F82" s="1838"/>
      <c r="G82" s="1838"/>
      <c r="H82" s="1838"/>
      <c r="I82" s="1838"/>
      <c r="J82" s="1838"/>
      <c r="K82" s="1838"/>
      <c r="L82" s="37"/>
    </row>
    <row r="83" spans="1:14">
      <c r="A83" s="37"/>
      <c r="B83" s="1838"/>
      <c r="C83" s="1838"/>
      <c r="D83" s="1838"/>
      <c r="E83" s="1838"/>
      <c r="F83" s="1838"/>
      <c r="G83" s="1838"/>
      <c r="H83" s="1838"/>
      <c r="I83" s="1838"/>
      <c r="J83" s="1838"/>
      <c r="K83" s="1838"/>
      <c r="L83" s="37"/>
    </row>
    <row r="84" spans="1:14">
      <c r="A84" s="37"/>
      <c r="B84" s="37"/>
      <c r="C84" s="37"/>
      <c r="D84" s="37"/>
      <c r="E84" s="37"/>
      <c r="F84" s="37"/>
      <c r="G84" s="37"/>
      <c r="H84" s="37"/>
      <c r="I84" s="37"/>
      <c r="J84" s="37"/>
      <c r="K84" s="37"/>
      <c r="L84" s="37"/>
    </row>
    <row r="85" spans="1:14">
      <c r="A85" s="37"/>
      <c r="B85" s="327" t="s">
        <v>1068</v>
      </c>
      <c r="C85" s="1776" t="s">
        <v>1073</v>
      </c>
      <c r="D85" s="1776"/>
      <c r="E85" s="1776"/>
      <c r="F85" s="1776"/>
      <c r="G85" s="1776"/>
      <c r="H85" s="1776"/>
    </row>
    <row r="86" spans="1:14">
      <c r="A86" s="37"/>
      <c r="B86" s="576" t="s">
        <v>76</v>
      </c>
      <c r="C86" s="576">
        <v>12</v>
      </c>
      <c r="D86" s="576">
        <v>24</v>
      </c>
      <c r="E86" s="576">
        <v>36</v>
      </c>
      <c r="F86" s="576">
        <v>48</v>
      </c>
      <c r="G86" s="576">
        <v>60</v>
      </c>
      <c r="H86" s="576">
        <v>72</v>
      </c>
    </row>
    <row r="87" spans="1:14">
      <c r="A87" s="37"/>
      <c r="B87" s="327">
        <f>B88-1</f>
        <v>2014</v>
      </c>
      <c r="C87" s="609">
        <f t="shared" ref="C87:H87" si="5">C51/C7</f>
        <v>0.45701958181214736</v>
      </c>
      <c r="D87" s="609">
        <f t="shared" si="5"/>
        <v>0.59441036128152691</v>
      </c>
      <c r="E87" s="609">
        <f t="shared" si="5"/>
        <v>0.71289625360230546</v>
      </c>
      <c r="F87" s="609">
        <f t="shared" si="5"/>
        <v>0.78080857282026306</v>
      </c>
      <c r="G87" s="609">
        <f t="shared" si="5"/>
        <v>0.87186971885082198</v>
      </c>
      <c r="H87" s="609">
        <f t="shared" si="5"/>
        <v>0.91657770321793508</v>
      </c>
    </row>
    <row r="88" spans="1:14">
      <c r="A88" s="37"/>
      <c r="B88" s="327">
        <f>B89-1</f>
        <v>2015</v>
      </c>
      <c r="C88" s="609">
        <f>C52/C8</f>
        <v>0.45663040282269923</v>
      </c>
      <c r="D88" s="609">
        <f>D52/D8</f>
        <v>0.59730722154222771</v>
      </c>
      <c r="E88" s="609">
        <f>E52/E8</f>
        <v>0.72079631457716353</v>
      </c>
      <c r="F88" s="609">
        <f>F52/F8</f>
        <v>0.78182896101971244</v>
      </c>
      <c r="G88" s="609">
        <f>G52/G8</f>
        <v>0.85901684617508978</v>
      </c>
      <c r="H88" s="609"/>
    </row>
    <row r="89" spans="1:14">
      <c r="A89" s="37"/>
      <c r="B89" s="327">
        <f>B90-1</f>
        <v>2016</v>
      </c>
      <c r="C89" s="609">
        <f>C53/C9</f>
        <v>0.47541444225906154</v>
      </c>
      <c r="D89" s="609">
        <f>D53/D9</f>
        <v>0.60253070338667658</v>
      </c>
      <c r="E89" s="609">
        <f>E53/E9</f>
        <v>0.72064056939501775</v>
      </c>
      <c r="F89" s="609">
        <f>F53/F9</f>
        <v>0.78035524920466592</v>
      </c>
      <c r="G89" s="609"/>
    </row>
    <row r="90" spans="1:14">
      <c r="A90" s="37"/>
      <c r="B90" s="327">
        <f>B91-1</f>
        <v>2017</v>
      </c>
      <c r="C90" s="609">
        <f>C54/C10</f>
        <v>0.45343367826904984</v>
      </c>
      <c r="D90" s="609">
        <f>D54/D10</f>
        <v>0.59708948740225887</v>
      </c>
      <c r="E90" s="609">
        <f>E54/E10</f>
        <v>0.69338677354709422</v>
      </c>
      <c r="F90" s="609"/>
      <c r="G90" s="609"/>
    </row>
    <row r="91" spans="1:14">
      <c r="A91" s="37"/>
      <c r="B91" s="327">
        <f>B92-1</f>
        <v>2018</v>
      </c>
      <c r="C91" s="609">
        <f>C55/C11</f>
        <v>454.43499392466589</v>
      </c>
      <c r="D91" s="609">
        <f>D55/D11</f>
        <v>0.56775607811877238</v>
      </c>
      <c r="E91" s="609"/>
      <c r="F91" s="609"/>
      <c r="G91" s="609"/>
    </row>
    <row r="92" spans="1:14">
      <c r="A92" s="37"/>
      <c r="B92" s="327">
        <v>2019</v>
      </c>
      <c r="C92" s="609">
        <f>C56/C12</f>
        <v>0.40938648572236358</v>
      </c>
      <c r="D92" s="609"/>
      <c r="E92" s="609"/>
      <c r="F92" s="609"/>
      <c r="G92" s="609"/>
      <c r="I92"/>
      <c r="J92"/>
      <c r="K92"/>
      <c r="L92"/>
      <c r="M92"/>
      <c r="N92"/>
    </row>
    <row r="93" spans="1:14">
      <c r="A93" s="37"/>
      <c r="B93" s="327"/>
      <c r="C93" s="609"/>
      <c r="D93" s="609"/>
      <c r="E93" s="609"/>
      <c r="F93" s="609"/>
      <c r="G93" s="609"/>
      <c r="I93"/>
      <c r="J93"/>
      <c r="K93"/>
      <c r="L93"/>
      <c r="M93"/>
      <c r="N93"/>
    </row>
    <row r="94" spans="1:14">
      <c r="A94" s="37"/>
      <c r="B94" s="287" t="s">
        <v>1071</v>
      </c>
      <c r="H94"/>
      <c r="I94"/>
      <c r="J94"/>
      <c r="K94"/>
      <c r="L94"/>
      <c r="M94"/>
      <c r="N94"/>
    </row>
    <row r="95" spans="1:14">
      <c r="A95" s="37"/>
      <c r="B95" s="287"/>
    </row>
    <row r="96" spans="1:14">
      <c r="A96" s="37"/>
      <c r="B96" s="327" t="s">
        <v>1068</v>
      </c>
      <c r="C96" s="1776" t="s">
        <v>1072</v>
      </c>
      <c r="D96" s="1776"/>
      <c r="E96" s="1776"/>
      <c r="F96" s="1776"/>
      <c r="G96" s="1776"/>
      <c r="H96" s="1776"/>
    </row>
    <row r="97" spans="1:14">
      <c r="A97" s="37"/>
      <c r="B97" s="576" t="s">
        <v>76</v>
      </c>
      <c r="C97" s="576">
        <v>12</v>
      </c>
      <c r="D97" s="576">
        <v>24</v>
      </c>
      <c r="E97" s="576">
        <v>36</v>
      </c>
      <c r="F97" s="576">
        <v>48</v>
      </c>
      <c r="G97" s="576">
        <v>60</v>
      </c>
      <c r="H97" s="576">
        <v>72</v>
      </c>
    </row>
    <row r="98" spans="1:14">
      <c r="A98" s="37"/>
      <c r="B98" s="327">
        <f>B99-1</f>
        <v>2014</v>
      </c>
      <c r="C98" s="801">
        <f t="shared" ref="C98:H98" si="6">(C7-C51)/C69</f>
        <v>5.5084175084175087</v>
      </c>
      <c r="D98" s="801">
        <f t="shared" si="6"/>
        <v>10.142045454545455</v>
      </c>
      <c r="E98" s="801">
        <f t="shared" si="6"/>
        <v>12.65079365079365</v>
      </c>
      <c r="F98" s="801">
        <f t="shared" si="6"/>
        <v>13.5</v>
      </c>
      <c r="G98" s="801">
        <f t="shared" si="6"/>
        <v>11.583333333333334</v>
      </c>
      <c r="H98" s="801">
        <f t="shared" si="6"/>
        <v>9.5964912280701746</v>
      </c>
    </row>
    <row r="99" spans="1:14">
      <c r="A99" s="37"/>
      <c r="B99" s="327">
        <f>B100-1</f>
        <v>2015</v>
      </c>
      <c r="C99" s="801">
        <f>(C8-C52)/C70</f>
        <v>5.7750000000000004</v>
      </c>
      <c r="D99" s="801">
        <f>(D8-D52)/D70</f>
        <v>10.612903225806452</v>
      </c>
      <c r="E99" s="801">
        <f>(E8-E52)/E70</f>
        <v>13.2578125</v>
      </c>
      <c r="F99" s="801">
        <f>(F8-F52)/F70</f>
        <v>14.153846153846153</v>
      </c>
      <c r="G99" s="801">
        <f>(G8-G52)/G70</f>
        <v>12.154761904761905</v>
      </c>
      <c r="H99" s="801"/>
    </row>
    <row r="100" spans="1:14">
      <c r="A100" s="37"/>
      <c r="B100" s="327">
        <f>B101-1</f>
        <v>2016</v>
      </c>
      <c r="C100" s="801">
        <f>(C9-C53)/C71</f>
        <v>6.0420711974110031</v>
      </c>
      <c r="D100" s="801">
        <f>(D9-D53)/D71</f>
        <v>11.183246073298429</v>
      </c>
      <c r="E100" s="801">
        <f>(E9-E53)/E71</f>
        <v>13.852941176470589</v>
      </c>
      <c r="F100" s="801">
        <f>(F9-F53)/F71</f>
        <v>14.927927927927929</v>
      </c>
      <c r="G100" s="801"/>
    </row>
    <row r="101" spans="1:14">
      <c r="A101" s="37"/>
      <c r="B101" s="327">
        <f>B102-1</f>
        <v>2017</v>
      </c>
      <c r="C101" s="801">
        <f>(C10-C54)/C72</f>
        <v>6.2924187725631766</v>
      </c>
      <c r="D101" s="801">
        <f>(D10-D54)/D72</f>
        <v>11.815286624203821</v>
      </c>
      <c r="E101" s="801">
        <f>(E10-E54)/E72</f>
        <v>16.54054054054054</v>
      </c>
      <c r="F101" s="801"/>
      <c r="G101" s="801"/>
    </row>
    <row r="102" spans="1:14">
      <c r="A102" s="37"/>
      <c r="B102" s="327">
        <f>B103-1</f>
        <v>2018</v>
      </c>
      <c r="C102" s="801">
        <f>(C11-C55)/C73</f>
        <v>-5.4878970588235294</v>
      </c>
      <c r="D102" s="801">
        <f>(D11-D55)/D73</f>
        <v>13.727848101265822</v>
      </c>
      <c r="E102" s="801"/>
      <c r="F102" s="801"/>
      <c r="G102" s="801"/>
    </row>
    <row r="103" spans="1:14">
      <c r="A103" s="37"/>
      <c r="B103" s="327">
        <v>2019</v>
      </c>
      <c r="C103" s="801">
        <f>(C12-C56)/C74</f>
        <v>7.8239700374531838</v>
      </c>
      <c r="D103" s="801"/>
      <c r="E103" s="801"/>
      <c r="F103" s="801"/>
      <c r="G103" s="801"/>
      <c r="I103"/>
      <c r="J103"/>
      <c r="K103"/>
      <c r="L103"/>
      <c r="M103"/>
      <c r="N103"/>
    </row>
    <row r="104" spans="1:14">
      <c r="M104" s="37"/>
    </row>
    <row r="105" spans="1:14">
      <c r="B105" s="287" t="s">
        <v>1071</v>
      </c>
      <c r="M105" s="37"/>
    </row>
    <row r="107" spans="1:14">
      <c r="A107" s="577" t="s">
        <v>4</v>
      </c>
      <c r="B107" s="22" t="s">
        <v>1070</v>
      </c>
      <c r="C107" s="22"/>
      <c r="D107" s="22"/>
      <c r="E107" s="22"/>
      <c r="F107" s="22"/>
      <c r="G107" s="22"/>
      <c r="H107" s="22"/>
      <c r="I107" s="22"/>
      <c r="J107" s="22"/>
      <c r="K107" s="22"/>
      <c r="L107" s="22"/>
    </row>
    <row r="108" spans="1:14">
      <c r="A108" s="2"/>
      <c r="B108" s="2"/>
      <c r="C108" s="2"/>
      <c r="D108" s="2"/>
      <c r="E108" s="2"/>
      <c r="F108" s="2"/>
      <c r="G108" s="22"/>
      <c r="H108" s="22"/>
      <c r="I108" s="22"/>
      <c r="J108" s="22"/>
      <c r="K108" s="22"/>
      <c r="L108" s="22"/>
    </row>
    <row r="109" spans="1:14">
      <c r="A109" s="37"/>
      <c r="B109" s="37"/>
      <c r="C109" s="37"/>
      <c r="D109" s="37"/>
      <c r="E109" s="37"/>
      <c r="F109" s="37"/>
      <c r="G109" s="37"/>
      <c r="H109" s="37"/>
      <c r="I109" s="37"/>
      <c r="J109" s="37"/>
      <c r="K109" s="37"/>
      <c r="L109" s="37"/>
    </row>
    <row r="110" spans="1:14">
      <c r="A110" s="37" t="s">
        <v>650</v>
      </c>
      <c r="B110" s="37"/>
      <c r="C110" s="37"/>
      <c r="D110" s="37"/>
      <c r="E110" s="37"/>
      <c r="F110" s="37"/>
      <c r="G110" s="37"/>
      <c r="H110" s="37"/>
      <c r="I110" s="37"/>
      <c r="J110" s="37"/>
      <c r="K110" s="37"/>
      <c r="L110" s="37"/>
    </row>
    <row r="111" spans="1:14">
      <c r="B111" s="327" t="s">
        <v>1068</v>
      </c>
      <c r="C111" s="1776" t="s">
        <v>1069</v>
      </c>
      <c r="D111" s="1776"/>
      <c r="E111" s="1776"/>
      <c r="F111" s="1776"/>
      <c r="G111" s="1776"/>
      <c r="H111" s="327"/>
    </row>
    <row r="112" spans="1:14">
      <c r="B112" s="576" t="s">
        <v>76</v>
      </c>
      <c r="C112" s="576">
        <v>12</v>
      </c>
      <c r="D112" s="576">
        <v>24</v>
      </c>
      <c r="E112" s="576">
        <v>36</v>
      </c>
      <c r="F112" s="576">
        <v>48</v>
      </c>
      <c r="G112" s="576">
        <v>60</v>
      </c>
      <c r="H112" s="576">
        <v>72</v>
      </c>
    </row>
    <row r="113" spans="2:8">
      <c r="B113" s="327">
        <f>B114-1</f>
        <v>2014</v>
      </c>
      <c r="C113" s="634">
        <f t="shared" ref="C113:H113" si="7">C60+C69</f>
        <v>774</v>
      </c>
      <c r="D113" s="634">
        <f t="shared" si="7"/>
        <v>842</v>
      </c>
      <c r="E113" s="634">
        <f t="shared" si="7"/>
        <v>853</v>
      </c>
      <c r="F113" s="634">
        <f t="shared" si="7"/>
        <v>853</v>
      </c>
      <c r="G113" s="634">
        <f t="shared" si="7"/>
        <v>853</v>
      </c>
      <c r="H113" s="634">
        <f t="shared" si="7"/>
        <v>853</v>
      </c>
    </row>
    <row r="114" spans="2:8">
      <c r="B114" s="327">
        <f>B115-1</f>
        <v>2015</v>
      </c>
      <c r="C114" s="634">
        <f>C61+C70</f>
        <v>807</v>
      </c>
      <c r="D114" s="634">
        <f>D61+D70</f>
        <v>883</v>
      </c>
      <c r="E114" s="634">
        <f>E61+E70</f>
        <v>890</v>
      </c>
      <c r="F114" s="634">
        <f>F61+F70</f>
        <v>890</v>
      </c>
      <c r="G114" s="634">
        <f>G61+G70</f>
        <v>890</v>
      </c>
      <c r="H114" s="634"/>
    </row>
    <row r="115" spans="2:8">
      <c r="B115" s="327">
        <f>B116-1</f>
        <v>2016</v>
      </c>
      <c r="C115" s="634">
        <f>C62+C71</f>
        <v>830</v>
      </c>
      <c r="D115" s="634">
        <f>D62+D71</f>
        <v>927</v>
      </c>
      <c r="E115" s="634">
        <f>E62+E71</f>
        <v>938</v>
      </c>
      <c r="F115" s="634">
        <f>F62+F71</f>
        <v>938</v>
      </c>
      <c r="G115" s="634"/>
      <c r="H115" s="634"/>
    </row>
    <row r="116" spans="2:8">
      <c r="B116" s="327">
        <f>B117-1</f>
        <v>2017</v>
      </c>
      <c r="C116" s="634">
        <f>C63+C72</f>
        <v>734</v>
      </c>
      <c r="D116" s="634">
        <f>D63+D72</f>
        <v>797</v>
      </c>
      <c r="E116" s="634">
        <f>E63+E72</f>
        <v>808</v>
      </c>
      <c r="F116" s="634"/>
      <c r="G116" s="634"/>
      <c r="H116" s="634"/>
    </row>
    <row r="117" spans="2:8">
      <c r="B117" s="327">
        <f>B118-1</f>
        <v>2018</v>
      </c>
      <c r="C117" s="634">
        <f>C64+C73</f>
        <v>724</v>
      </c>
      <c r="D117" s="634">
        <f>D64+D73</f>
        <v>799</v>
      </c>
      <c r="E117" s="634"/>
      <c r="F117" s="634"/>
      <c r="G117" s="634"/>
      <c r="H117" s="634"/>
    </row>
    <row r="118" spans="2:8">
      <c r="B118" s="327">
        <v>2019</v>
      </c>
      <c r="C118" s="634">
        <f>C65+C74</f>
        <v>714</v>
      </c>
      <c r="D118" s="634"/>
      <c r="E118" s="634"/>
      <c r="F118" s="634"/>
      <c r="G118" s="634"/>
      <c r="H118" s="634"/>
    </row>
    <row r="119" spans="2:8">
      <c r="B119" s="37"/>
      <c r="C119" s="37"/>
      <c r="D119" s="37"/>
      <c r="E119" s="37"/>
      <c r="F119" s="37"/>
      <c r="G119" s="37"/>
      <c r="H119" s="37"/>
    </row>
    <row r="120" spans="2:8">
      <c r="B120" s="327" t="s">
        <v>1068</v>
      </c>
      <c r="C120" s="1776" t="s">
        <v>1067</v>
      </c>
      <c r="D120" s="1776"/>
      <c r="E120" s="1776"/>
      <c r="F120" s="1776"/>
      <c r="G120" s="1776"/>
      <c r="H120" s="327"/>
    </row>
    <row r="121" spans="2:8">
      <c r="B121" s="576" t="s">
        <v>76</v>
      </c>
      <c r="C121" s="576">
        <v>12</v>
      </c>
      <c r="D121" s="576">
        <v>24</v>
      </c>
      <c r="E121" s="576">
        <v>36</v>
      </c>
      <c r="F121" s="576">
        <v>48</v>
      </c>
      <c r="G121" s="576">
        <v>60</v>
      </c>
      <c r="H121" s="576">
        <v>72</v>
      </c>
    </row>
    <row r="122" spans="2:8">
      <c r="B122" s="327">
        <f>B123-1</f>
        <v>2014</v>
      </c>
      <c r="C122" s="609">
        <f t="shared" ref="C122:H122" si="8">C60/C113</f>
        <v>0.61627906976744184</v>
      </c>
      <c r="D122" s="609">
        <f t="shared" si="8"/>
        <v>0.79097387173396672</v>
      </c>
      <c r="E122" s="609">
        <f t="shared" si="8"/>
        <v>0.85228604923798357</v>
      </c>
      <c r="F122" s="609">
        <f t="shared" si="8"/>
        <v>0.88276670574443139</v>
      </c>
      <c r="G122" s="609">
        <f t="shared" si="8"/>
        <v>0.91559202813599061</v>
      </c>
      <c r="H122" s="609">
        <f t="shared" si="8"/>
        <v>0.93317702227432586</v>
      </c>
    </row>
    <row r="123" spans="2:8">
      <c r="B123" s="327">
        <f>B124-1</f>
        <v>2015</v>
      </c>
      <c r="C123" s="609">
        <f>C61/C114</f>
        <v>0.60346964064436182</v>
      </c>
      <c r="D123" s="609">
        <f>D61/D114</f>
        <v>0.78935447338618348</v>
      </c>
      <c r="E123" s="609">
        <f>E61/E114</f>
        <v>0.85617977528089884</v>
      </c>
      <c r="F123" s="609">
        <f>F61/F114</f>
        <v>0.88314606741573032</v>
      </c>
      <c r="G123" s="609">
        <f>G61/G114</f>
        <v>0.90561797752808992</v>
      </c>
      <c r="H123" s="609"/>
    </row>
    <row r="124" spans="2:8">
      <c r="B124" s="327">
        <f>B125-1</f>
        <v>2016</v>
      </c>
      <c r="C124" s="609">
        <f>C62/C115</f>
        <v>0.62771084337349392</v>
      </c>
      <c r="D124" s="609">
        <f>D62/D115</f>
        <v>0.7939590075512406</v>
      </c>
      <c r="E124" s="609">
        <f>E62/E115</f>
        <v>0.85501066098081024</v>
      </c>
      <c r="F124" s="609">
        <f>F62/F115</f>
        <v>0.88166311300639655</v>
      </c>
      <c r="G124" s="609"/>
      <c r="H124" s="609"/>
    </row>
    <row r="125" spans="2:8">
      <c r="B125" s="327">
        <f>B126-1</f>
        <v>2017</v>
      </c>
      <c r="C125" s="609">
        <f>C63/C116</f>
        <v>0.62261580381471393</v>
      </c>
      <c r="D125" s="609">
        <f>D63/D116</f>
        <v>0.80301129234629864</v>
      </c>
      <c r="E125" s="609">
        <f>E63/E116</f>
        <v>0.86262376237623761</v>
      </c>
      <c r="F125" s="609"/>
      <c r="G125" s="609"/>
      <c r="H125" s="609"/>
    </row>
    <row r="126" spans="2:8">
      <c r="B126" s="327">
        <f>B127-1</f>
        <v>2018</v>
      </c>
      <c r="C126" s="609">
        <f>C64/C117</f>
        <v>0.62430939226519333</v>
      </c>
      <c r="D126" s="609">
        <f>D64/D117</f>
        <v>0.80225281602002507</v>
      </c>
      <c r="E126" s="609"/>
      <c r="F126" s="609"/>
      <c r="G126" s="609"/>
      <c r="H126" s="609"/>
    </row>
    <row r="127" spans="2:8">
      <c r="B127" s="327">
        <v>2019</v>
      </c>
      <c r="C127" s="609">
        <f>C65/C118</f>
        <v>0.62605042016806722</v>
      </c>
      <c r="D127" s="609"/>
      <c r="E127" s="609"/>
      <c r="F127" s="609"/>
      <c r="G127" s="609"/>
      <c r="H127" s="609"/>
    </row>
    <row r="129" spans="2:2">
      <c r="B129" s="287" t="s">
        <v>1066</v>
      </c>
    </row>
  </sheetData>
  <mergeCells count="21">
    <mergeCell ref="I5:I6"/>
    <mergeCell ref="B18:B19"/>
    <mergeCell ref="C18:D19"/>
    <mergeCell ref="C120:G120"/>
    <mergeCell ref="A44:L45"/>
    <mergeCell ref="C49:H49"/>
    <mergeCell ref="C58:H58"/>
    <mergeCell ref="C67:H67"/>
    <mergeCell ref="B82:K83"/>
    <mergeCell ref="C85:H85"/>
    <mergeCell ref="C24:D24"/>
    <mergeCell ref="C25:D25"/>
    <mergeCell ref="C96:H96"/>
    <mergeCell ref="C111:G111"/>
    <mergeCell ref="B28:L29"/>
    <mergeCell ref="C20:D20"/>
    <mergeCell ref="C21:D21"/>
    <mergeCell ref="C22:D22"/>
    <mergeCell ref="C23:D23"/>
    <mergeCell ref="B5:B6"/>
    <mergeCell ref="C5:H5"/>
  </mergeCells>
  <pageMargins left="0.39370078740157483" right="0.39370078740157483" top="0.39370078740157483" bottom="0.39370078740157483" header="0.31496062992125984" footer="0.31496062992125984"/>
  <pageSetup scale="71" orientation="portrait" verticalDpi="1200" r:id="rId1"/>
  <headerFooter>
    <oddFooter>&amp;L&amp;F [&amp;A]&amp;R&amp;P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EE228-BECB-477E-915F-F3936BAC7F5D}">
  <dimension ref="A1:N110"/>
  <sheetViews>
    <sheetView zoomScaleNormal="100" workbookViewId="0"/>
  </sheetViews>
  <sheetFormatPr defaultColWidth="8.88671875" defaultRowHeight="15.6"/>
  <cols>
    <col min="1" max="1" width="8.88671875" style="1" customWidth="1"/>
    <col min="2" max="6" width="14.6640625" style="1" customWidth="1"/>
    <col min="7" max="7" width="8.88671875" style="1"/>
    <col min="8" max="8" width="14.33203125" style="1" customWidth="1"/>
    <col min="9" max="16384" width="8.88671875" style="1"/>
  </cols>
  <sheetData>
    <row r="1" spans="1:12" ht="17.399999999999999">
      <c r="A1" s="23" t="s">
        <v>839</v>
      </c>
      <c r="B1" s="22"/>
      <c r="C1" s="22" t="s">
        <v>1135</v>
      </c>
      <c r="D1" s="22"/>
      <c r="E1" s="22"/>
      <c r="F1" s="22"/>
      <c r="G1" s="22"/>
      <c r="H1" s="22"/>
      <c r="I1" s="22"/>
      <c r="J1" s="22"/>
      <c r="K1" s="22"/>
      <c r="L1" s="2"/>
    </row>
    <row r="2" spans="1:12">
      <c r="A2" s="836" t="s">
        <v>1134</v>
      </c>
      <c r="B2" s="343"/>
      <c r="C2" s="343"/>
      <c r="D2" s="343"/>
      <c r="E2" s="22"/>
      <c r="F2" s="22"/>
      <c r="G2" s="22"/>
      <c r="H2" s="22"/>
      <c r="I2" s="22"/>
      <c r="J2" s="22"/>
      <c r="K2" s="22"/>
      <c r="L2" s="2"/>
    </row>
    <row r="3" spans="1:12">
      <c r="A3" s="292" t="s">
        <v>1133</v>
      </c>
      <c r="B3" s="22"/>
      <c r="C3" s="22"/>
      <c r="D3" s="22"/>
      <c r="E3" s="22"/>
      <c r="F3" s="22"/>
      <c r="G3" s="22"/>
      <c r="H3" s="22"/>
      <c r="I3" s="22"/>
      <c r="J3" s="22"/>
      <c r="K3" s="22"/>
      <c r="L3" s="2"/>
    </row>
    <row r="4" spans="1:12">
      <c r="A4" s="22"/>
      <c r="B4" s="22"/>
      <c r="C4" s="22"/>
      <c r="D4" s="22"/>
      <c r="E4" s="22"/>
      <c r="F4" s="22"/>
      <c r="G4" s="22"/>
      <c r="H4" s="22"/>
      <c r="I4" s="22"/>
      <c r="J4" s="22"/>
      <c r="K4" s="22"/>
      <c r="L4" s="2"/>
    </row>
    <row r="5" spans="1:12">
      <c r="A5" s="2"/>
      <c r="B5" s="2"/>
      <c r="C5" s="2"/>
      <c r="D5" s="2"/>
      <c r="E5" s="2"/>
      <c r="F5" s="2"/>
      <c r="G5" s="2"/>
      <c r="H5" s="2"/>
      <c r="I5" s="2"/>
      <c r="J5" s="2"/>
      <c r="K5" s="2"/>
      <c r="L5" s="2"/>
    </row>
    <row r="6" spans="1:12">
      <c r="A6" s="292" t="s">
        <v>667</v>
      </c>
      <c r="B6" s="2"/>
      <c r="C6" s="2"/>
      <c r="D6" s="2"/>
      <c r="E6" s="2"/>
      <c r="F6" s="2"/>
      <c r="G6" s="2"/>
      <c r="H6" s="2"/>
      <c r="I6" s="2"/>
      <c r="J6" s="2"/>
      <c r="K6" s="2"/>
      <c r="L6" s="2"/>
    </row>
    <row r="7" spans="1:12">
      <c r="A7" s="418"/>
      <c r="B7" s="418"/>
      <c r="C7" s="418"/>
      <c r="D7" s="418"/>
      <c r="E7" s="418"/>
      <c r="F7" s="418"/>
      <c r="G7" s="418"/>
      <c r="H7" s="418"/>
      <c r="I7" s="418"/>
      <c r="J7" s="418"/>
      <c r="K7" s="418"/>
      <c r="L7" s="418"/>
    </row>
    <row r="8" spans="1:12" s="397" customFormat="1">
      <c r="A8" s="292" t="s">
        <v>1132</v>
      </c>
      <c r="B8" s="292"/>
      <c r="C8" s="292"/>
      <c r="D8" s="292"/>
      <c r="E8" s="292"/>
      <c r="F8" s="292"/>
      <c r="G8" s="292"/>
      <c r="H8" s="292"/>
      <c r="I8" s="292"/>
      <c r="J8" s="292"/>
      <c r="K8" s="292"/>
      <c r="L8" s="292"/>
    </row>
    <row r="9" spans="1:12" s="397" customFormat="1">
      <c r="A9" s="292"/>
      <c r="B9" s="292"/>
      <c r="C9" s="292"/>
      <c r="D9" s="292"/>
      <c r="E9" s="855" t="s">
        <v>1131</v>
      </c>
      <c r="F9" s="292"/>
      <c r="G9" s="292"/>
      <c r="H9" s="292"/>
      <c r="I9" s="292"/>
      <c r="J9" s="292"/>
      <c r="K9" s="292"/>
      <c r="L9" s="292"/>
    </row>
    <row r="10" spans="1:12" s="397" customFormat="1" ht="46.8">
      <c r="A10" s="292"/>
      <c r="B10" s="1839" t="s">
        <v>31</v>
      </c>
      <c r="C10" s="1840" t="s">
        <v>1130</v>
      </c>
      <c r="D10" s="854" t="s">
        <v>1129</v>
      </c>
      <c r="E10" s="853" t="s">
        <v>1107</v>
      </c>
      <c r="F10" s="1841" t="s">
        <v>1128</v>
      </c>
      <c r="G10" s="292"/>
      <c r="H10" s="292"/>
      <c r="I10" s="292"/>
      <c r="J10" s="292"/>
      <c r="K10" s="292"/>
      <c r="L10" s="292"/>
    </row>
    <row r="11" spans="1:12" s="397" customFormat="1">
      <c r="A11" s="292"/>
      <c r="B11" s="1839"/>
      <c r="C11" s="1840"/>
      <c r="D11" s="852" t="s">
        <v>1127</v>
      </c>
      <c r="E11" s="851" t="s">
        <v>1127</v>
      </c>
      <c r="F11" s="1841"/>
      <c r="G11" s="292"/>
      <c r="H11" s="292"/>
      <c r="I11" s="292"/>
      <c r="J11" s="292"/>
      <c r="K11" s="292"/>
      <c r="L11" s="292"/>
    </row>
    <row r="12" spans="1:12" s="397" customFormat="1">
      <c r="A12" s="292"/>
      <c r="B12" s="530">
        <v>2012</v>
      </c>
      <c r="C12" s="845">
        <v>8391</v>
      </c>
      <c r="D12" s="850">
        <v>828</v>
      </c>
      <c r="E12" s="849">
        <v>1002</v>
      </c>
      <c r="F12" s="846">
        <v>1.008</v>
      </c>
      <c r="G12" s="292"/>
      <c r="H12" s="292"/>
      <c r="I12" s="292"/>
      <c r="J12" s="292"/>
      <c r="K12" s="292"/>
      <c r="L12" s="292"/>
    </row>
    <row r="13" spans="1:12" s="397" customFormat="1">
      <c r="A13" s="292"/>
      <c r="B13" s="530">
        <v>2013</v>
      </c>
      <c r="C13" s="845">
        <v>8402</v>
      </c>
      <c r="D13" s="848">
        <v>831</v>
      </c>
      <c r="E13" s="844">
        <v>1045</v>
      </c>
      <c r="F13" s="846">
        <v>1.012</v>
      </c>
      <c r="G13" s="292"/>
      <c r="H13" s="292"/>
      <c r="I13" s="292"/>
      <c r="J13" s="292"/>
      <c r="K13" s="292"/>
      <c r="L13" s="292"/>
    </row>
    <row r="14" spans="1:12" s="397" customFormat="1">
      <c r="A14" s="292"/>
      <c r="B14" s="530">
        <v>2014</v>
      </c>
      <c r="C14" s="845">
        <v>8788</v>
      </c>
      <c r="D14" s="848">
        <v>922</v>
      </c>
      <c r="E14" s="844">
        <v>1216</v>
      </c>
      <c r="F14" s="846">
        <v>1.018</v>
      </c>
      <c r="G14" s="292"/>
      <c r="H14" s="292"/>
      <c r="I14" s="292"/>
      <c r="J14" s="292"/>
      <c r="K14" s="292"/>
      <c r="L14" s="292"/>
    </row>
    <row r="15" spans="1:12" s="397" customFormat="1">
      <c r="A15" s="292"/>
      <c r="B15" s="530">
        <v>2015</v>
      </c>
      <c r="C15" s="845">
        <v>9088</v>
      </c>
      <c r="D15" s="848">
        <v>473</v>
      </c>
      <c r="E15" s="847">
        <v>664</v>
      </c>
      <c r="F15" s="846">
        <v>1.024</v>
      </c>
      <c r="G15" s="292"/>
      <c r="H15" s="292"/>
      <c r="I15" s="292"/>
      <c r="J15" s="292"/>
      <c r="K15" s="292"/>
      <c r="L15" s="292"/>
    </row>
    <row r="16" spans="1:12" s="397" customFormat="1">
      <c r="A16" s="292"/>
      <c r="B16" s="530">
        <v>2016</v>
      </c>
      <c r="C16" s="845">
        <v>9325</v>
      </c>
      <c r="D16" s="848">
        <v>467</v>
      </c>
      <c r="E16" s="847">
        <v>710</v>
      </c>
      <c r="F16" s="846">
        <v>1.032</v>
      </c>
      <c r="G16" s="292"/>
      <c r="H16" s="292"/>
      <c r="I16" s="292"/>
      <c r="J16" s="292"/>
      <c r="K16" s="292"/>
      <c r="L16" s="292"/>
    </row>
    <row r="17" spans="1:13" s="397" customFormat="1">
      <c r="A17" s="292"/>
      <c r="B17" s="530">
        <v>2017</v>
      </c>
      <c r="C17" s="845">
        <v>9704</v>
      </c>
      <c r="D17" s="848">
        <v>353</v>
      </c>
      <c r="E17" s="847">
        <v>593</v>
      </c>
      <c r="F17" s="846">
        <v>1.044</v>
      </c>
      <c r="G17" s="292"/>
      <c r="H17" s="292"/>
      <c r="I17" s="292"/>
      <c r="J17" s="292"/>
      <c r="K17" s="292"/>
      <c r="L17" s="292"/>
    </row>
    <row r="18" spans="1:13" s="397" customFormat="1">
      <c r="A18" s="292"/>
      <c r="B18" s="530">
        <v>2018</v>
      </c>
      <c r="C18" s="845">
        <v>10073</v>
      </c>
      <c r="D18" s="848">
        <v>390</v>
      </c>
      <c r="E18" s="847">
        <v>739</v>
      </c>
      <c r="F18" s="846">
        <v>1.071</v>
      </c>
      <c r="G18" s="292"/>
      <c r="H18" s="292"/>
      <c r="I18" s="292"/>
      <c r="J18" s="292"/>
      <c r="K18" s="292"/>
      <c r="L18" s="292"/>
    </row>
    <row r="19" spans="1:13" s="397" customFormat="1">
      <c r="A19" s="292"/>
      <c r="B19" s="530">
        <v>2019</v>
      </c>
      <c r="C19" s="845">
        <v>10339</v>
      </c>
      <c r="D19" s="848">
        <v>299</v>
      </c>
      <c r="E19" s="847">
        <v>632</v>
      </c>
      <c r="F19" s="846">
        <v>1.167</v>
      </c>
      <c r="G19" s="292"/>
      <c r="H19" s="292"/>
      <c r="I19" s="292"/>
      <c r="J19" s="292"/>
      <c r="K19" s="292"/>
      <c r="L19" s="292"/>
    </row>
    <row r="20" spans="1:13" s="397" customFormat="1">
      <c r="A20" s="292"/>
      <c r="B20" s="530">
        <v>2020</v>
      </c>
      <c r="C20" s="845">
        <v>10591</v>
      </c>
      <c r="D20" s="848">
        <v>183</v>
      </c>
      <c r="E20" s="847">
        <v>448</v>
      </c>
      <c r="F20" s="846">
        <v>1.5</v>
      </c>
      <c r="G20" s="292"/>
      <c r="H20" s="292"/>
      <c r="I20" s="292"/>
      <c r="J20" s="292"/>
      <c r="K20" s="292"/>
      <c r="L20" s="292"/>
    </row>
    <row r="21" spans="1:13" s="397" customFormat="1">
      <c r="A21" s="292"/>
      <c r="B21" s="530" t="s">
        <v>98</v>
      </c>
      <c r="C21" s="845">
        <v>84701</v>
      </c>
      <c r="D21" s="845">
        <v>4746</v>
      </c>
      <c r="E21" s="844">
        <v>7049</v>
      </c>
      <c r="F21" s="843"/>
      <c r="G21" s="292"/>
      <c r="H21" s="292"/>
      <c r="I21" s="292"/>
      <c r="J21" s="292"/>
      <c r="K21" s="292"/>
      <c r="L21" s="292"/>
    </row>
    <row r="22" spans="1:13" s="397" customFormat="1">
      <c r="A22" s="292"/>
      <c r="B22" s="292"/>
      <c r="C22" s="292"/>
      <c r="D22" s="292"/>
      <c r="E22" s="292"/>
      <c r="F22" s="292"/>
      <c r="G22" s="292"/>
      <c r="H22" s="292"/>
      <c r="I22" s="292"/>
      <c r="J22" s="292"/>
      <c r="K22" s="292"/>
      <c r="L22" s="292"/>
    </row>
    <row r="23" spans="1:13" s="397" customFormat="1">
      <c r="A23" s="292" t="s">
        <v>1126</v>
      </c>
      <c r="B23" s="292"/>
      <c r="C23" s="292"/>
      <c r="D23" s="292"/>
      <c r="E23" s="292"/>
      <c r="F23" s="292"/>
      <c r="G23" s="292"/>
      <c r="H23" s="292"/>
      <c r="I23" s="292"/>
      <c r="J23" s="292"/>
      <c r="K23" s="292"/>
      <c r="L23" s="292"/>
    </row>
    <row r="24" spans="1:13" s="397" customFormat="1">
      <c r="A24" s="292" t="s">
        <v>1125</v>
      </c>
      <c r="B24" s="292"/>
      <c r="C24" s="292"/>
      <c r="D24" s="842">
        <v>-0.01</v>
      </c>
      <c r="E24" s="290"/>
      <c r="F24" s="292"/>
      <c r="G24" s="292"/>
      <c r="H24" s="292"/>
      <c r="I24" s="292"/>
      <c r="J24" s="292"/>
      <c r="K24" s="292"/>
      <c r="L24" s="292"/>
    </row>
    <row r="25" spans="1:13" s="397" customFormat="1">
      <c r="A25" s="292" t="s">
        <v>1124</v>
      </c>
      <c r="B25" s="292"/>
      <c r="C25" s="292"/>
      <c r="D25" s="292"/>
      <c r="E25" s="842">
        <v>0.05</v>
      </c>
      <c r="F25" s="292" t="s">
        <v>1123</v>
      </c>
      <c r="G25" s="292"/>
      <c r="H25" s="292"/>
      <c r="I25" s="292"/>
      <c r="J25" s="292"/>
      <c r="K25" s="292"/>
      <c r="L25" s="292"/>
    </row>
    <row r="26" spans="1:13" s="397" customFormat="1">
      <c r="A26" s="292"/>
      <c r="B26" s="292"/>
      <c r="C26" s="292"/>
      <c r="D26" s="292"/>
      <c r="E26" s="292"/>
      <c r="F26" s="292"/>
      <c r="G26" s="292"/>
      <c r="H26" s="292"/>
      <c r="I26" s="292"/>
      <c r="J26" s="292"/>
      <c r="K26" s="292"/>
      <c r="L26" s="292"/>
    </row>
    <row r="27" spans="1:13" s="397" customFormat="1">
      <c r="A27" s="292"/>
      <c r="B27" s="292"/>
      <c r="C27" s="292"/>
      <c r="D27" s="292"/>
      <c r="E27" s="292"/>
      <c r="F27" s="292"/>
      <c r="G27" s="292"/>
      <c r="H27" s="292"/>
      <c r="I27" s="292"/>
      <c r="J27" s="292"/>
      <c r="K27" s="292"/>
      <c r="L27" s="292"/>
    </row>
    <row r="28" spans="1:13" s="397" customFormat="1">
      <c r="A28" s="837" t="s">
        <v>9</v>
      </c>
      <c r="B28" s="292" t="s">
        <v>1122</v>
      </c>
      <c r="C28" s="292"/>
      <c r="D28" s="292"/>
      <c r="E28" s="292"/>
      <c r="F28" s="292"/>
      <c r="G28" s="292"/>
      <c r="H28" s="292"/>
      <c r="I28" s="292"/>
      <c r="J28" s="292"/>
      <c r="K28" s="292"/>
      <c r="L28" s="292"/>
    </row>
    <row r="29" spans="1:13">
      <c r="A29" s="2"/>
      <c r="B29" s="836" t="s">
        <v>1113</v>
      </c>
      <c r="C29" s="138"/>
      <c r="D29" s="138"/>
      <c r="E29" s="138"/>
      <c r="F29" s="2"/>
      <c r="G29" s="22"/>
      <c r="H29" s="22"/>
      <c r="I29" s="22"/>
      <c r="J29" s="22"/>
      <c r="K29" s="22"/>
      <c r="L29" s="22"/>
    </row>
    <row r="30" spans="1:13">
      <c r="A30" s="37"/>
      <c r="B30" s="37"/>
      <c r="C30" s="37"/>
      <c r="D30" s="37"/>
      <c r="E30" s="37"/>
      <c r="F30" s="37"/>
      <c r="G30" s="37"/>
      <c r="H30" s="37"/>
      <c r="I30" s="37"/>
      <c r="J30" s="37"/>
      <c r="K30" s="37"/>
      <c r="L30" s="37"/>
      <c r="M30" s="37"/>
    </row>
    <row r="31" spans="1:13" s="397" customFormat="1">
      <c r="A31" s="397" t="s">
        <v>650</v>
      </c>
    </row>
    <row r="32" spans="1:13" s="397" customFormat="1" ht="46.8">
      <c r="B32" s="834" t="s">
        <v>47</v>
      </c>
      <c r="C32" s="834" t="s">
        <v>1121</v>
      </c>
      <c r="D32" s="834" t="s">
        <v>1120</v>
      </c>
      <c r="E32" s="834" t="s">
        <v>1119</v>
      </c>
      <c r="F32" s="834" t="s">
        <v>1118</v>
      </c>
      <c r="G32" s="834" t="s">
        <v>1117</v>
      </c>
      <c r="H32" s="834" t="s">
        <v>1116</v>
      </c>
    </row>
    <row r="33" spans="1:12" s="397" customFormat="1">
      <c r="B33" s="832">
        <f t="shared" ref="B33:B40" si="0">B34-1</f>
        <v>2012</v>
      </c>
      <c r="C33" s="822">
        <f>F12</f>
        <v>1.008</v>
      </c>
      <c r="D33" s="838">
        <f t="shared" ref="D33:D41" si="1">1/C33</f>
        <v>0.99206349206349209</v>
      </c>
      <c r="E33" s="821">
        <f t="shared" ref="E33:E41" si="2">C12*D33</f>
        <v>8324.4047619047615</v>
      </c>
      <c r="F33" s="822">
        <f t="shared" ref="F33:F41" si="3">(1+$D$24)^($B$41-B33)</f>
        <v>0.92274469442791995</v>
      </c>
      <c r="G33" s="822">
        <f t="shared" ref="G33:G39" si="4">1-$E$25</f>
        <v>0.95</v>
      </c>
      <c r="H33" s="821">
        <f t="shared" ref="H33:H41" si="5">E12*F33*G33</f>
        <v>878.36067462593701</v>
      </c>
    </row>
    <row r="34" spans="1:12" s="397" customFormat="1">
      <c r="B34" s="832">
        <f t="shared" si="0"/>
        <v>2013</v>
      </c>
      <c r="C34" s="822">
        <f>PRODUCT(F$12:F13)</f>
        <v>1.0200960000000001</v>
      </c>
      <c r="D34" s="838">
        <f t="shared" si="1"/>
        <v>0.98029989334337153</v>
      </c>
      <c r="E34" s="821">
        <f t="shared" si="2"/>
        <v>8236.4797038710076</v>
      </c>
      <c r="F34" s="822">
        <f t="shared" si="3"/>
        <v>0.93206534790698992</v>
      </c>
      <c r="G34" s="822">
        <f t="shared" si="4"/>
        <v>0.95</v>
      </c>
      <c r="H34" s="821">
        <f t="shared" si="5"/>
        <v>925.30787413466419</v>
      </c>
    </row>
    <row r="35" spans="1:12" s="397" customFormat="1">
      <c r="B35" s="832">
        <f t="shared" si="0"/>
        <v>2014</v>
      </c>
      <c r="C35" s="822">
        <f>PRODUCT(F$12:F14)</f>
        <v>1.038457728</v>
      </c>
      <c r="D35" s="838">
        <f t="shared" si="1"/>
        <v>0.96296649640802712</v>
      </c>
      <c r="E35" s="821">
        <f t="shared" si="2"/>
        <v>8462.5495704337427</v>
      </c>
      <c r="F35" s="822">
        <f t="shared" si="3"/>
        <v>0.94148014940099989</v>
      </c>
      <c r="G35" s="822">
        <f t="shared" si="4"/>
        <v>0.95</v>
      </c>
      <c r="H35" s="821">
        <f t="shared" si="5"/>
        <v>1087.597868588035</v>
      </c>
    </row>
    <row r="36" spans="1:12" s="397" customFormat="1">
      <c r="B36" s="832">
        <f t="shared" si="0"/>
        <v>2015</v>
      </c>
      <c r="C36" s="822">
        <f>PRODUCT(F$12:F15)</f>
        <v>1.0633807134720001</v>
      </c>
      <c r="D36" s="838">
        <f t="shared" si="1"/>
        <v>0.94039696914846382</v>
      </c>
      <c r="E36" s="821">
        <f t="shared" si="2"/>
        <v>8546.3276556212386</v>
      </c>
      <c r="F36" s="822">
        <f t="shared" si="3"/>
        <v>0.95099004989999991</v>
      </c>
      <c r="G36" s="822">
        <f t="shared" si="4"/>
        <v>0.95</v>
      </c>
      <c r="H36" s="821">
        <f t="shared" si="5"/>
        <v>599.88452347691987</v>
      </c>
    </row>
    <row r="37" spans="1:12" s="397" customFormat="1">
      <c r="B37" s="832">
        <f t="shared" si="0"/>
        <v>2016</v>
      </c>
      <c r="C37" s="822">
        <f>PRODUCT(F$12:F16)</f>
        <v>1.0974088963031041</v>
      </c>
      <c r="D37" s="838">
        <f t="shared" si="1"/>
        <v>0.91123737320587583</v>
      </c>
      <c r="E37" s="821">
        <f t="shared" si="2"/>
        <v>8497.288505144792</v>
      </c>
      <c r="F37" s="822">
        <f t="shared" si="3"/>
        <v>0.96059600999999994</v>
      </c>
      <c r="G37" s="822">
        <f t="shared" si="4"/>
        <v>0.95</v>
      </c>
      <c r="H37" s="821">
        <f t="shared" si="5"/>
        <v>647.92200874499986</v>
      </c>
    </row>
    <row r="38" spans="1:12" s="397" customFormat="1">
      <c r="B38" s="832">
        <f t="shared" si="0"/>
        <v>2017</v>
      </c>
      <c r="C38" s="822">
        <f>PRODUCT(F$12:F17)</f>
        <v>1.1456948877404407</v>
      </c>
      <c r="D38" s="838">
        <f t="shared" si="1"/>
        <v>0.87283273295581976</v>
      </c>
      <c r="E38" s="821">
        <f t="shared" si="2"/>
        <v>8469.9688406032747</v>
      </c>
      <c r="F38" s="822">
        <f t="shared" si="3"/>
        <v>0.97029899999999991</v>
      </c>
      <c r="G38" s="822">
        <f t="shared" si="4"/>
        <v>0.95</v>
      </c>
      <c r="H38" s="821">
        <f t="shared" si="5"/>
        <v>546.61794164999992</v>
      </c>
    </row>
    <row r="39" spans="1:12" s="397" customFormat="1">
      <c r="B39" s="832">
        <f t="shared" si="0"/>
        <v>2018</v>
      </c>
      <c r="C39" s="822">
        <f>PRODUCT(F$12:F18)</f>
        <v>1.2270392247700119</v>
      </c>
      <c r="D39" s="838">
        <f t="shared" si="1"/>
        <v>0.81496987204091487</v>
      </c>
      <c r="E39" s="821">
        <f t="shared" si="2"/>
        <v>8209.1915210681364</v>
      </c>
      <c r="F39" s="822">
        <f t="shared" si="3"/>
        <v>0.98009999999999997</v>
      </c>
      <c r="G39" s="822">
        <f t="shared" si="4"/>
        <v>0.95</v>
      </c>
      <c r="H39" s="821">
        <f t="shared" si="5"/>
        <v>688.079205</v>
      </c>
    </row>
    <row r="40" spans="1:12" s="397" customFormat="1">
      <c r="B40" s="832">
        <f t="shared" si="0"/>
        <v>2019</v>
      </c>
      <c r="C40" s="822">
        <f>PRODUCT(F$12:F19)</f>
        <v>1.431954775306604</v>
      </c>
      <c r="D40" s="838">
        <f t="shared" si="1"/>
        <v>0.69834607715588248</v>
      </c>
      <c r="E40" s="821">
        <f t="shared" si="2"/>
        <v>7220.2000917146688</v>
      </c>
      <c r="F40" s="822">
        <f t="shared" si="3"/>
        <v>0.99</v>
      </c>
      <c r="G40" s="822">
        <v>1</v>
      </c>
      <c r="H40" s="821">
        <f t="shared" si="5"/>
        <v>625.67999999999995</v>
      </c>
    </row>
    <row r="41" spans="1:12" s="397" customFormat="1">
      <c r="B41" s="829">
        <v>2020</v>
      </c>
      <c r="C41" s="840">
        <f>PRODUCT(F$12:F20)</f>
        <v>2.147932162959906</v>
      </c>
      <c r="D41" s="841">
        <f t="shared" si="1"/>
        <v>0.46556405143725499</v>
      </c>
      <c r="E41" s="827">
        <f t="shared" si="2"/>
        <v>4930.7888687719678</v>
      </c>
      <c r="F41" s="840">
        <f t="shared" si="3"/>
        <v>1</v>
      </c>
      <c r="G41" s="840">
        <v>1</v>
      </c>
      <c r="H41" s="827">
        <f t="shared" si="5"/>
        <v>448</v>
      </c>
    </row>
    <row r="42" spans="1:12" s="397" customFormat="1">
      <c r="B42" s="832" t="s">
        <v>98</v>
      </c>
      <c r="C42" s="832"/>
      <c r="D42" s="822"/>
      <c r="E42" s="821">
        <f>SUM(E33:E41)</f>
        <v>70897.199519133588</v>
      </c>
      <c r="F42" s="822"/>
      <c r="G42" s="822"/>
      <c r="H42" s="821">
        <f>SUM(H33:H41)</f>
        <v>6447.4500962205566</v>
      </c>
    </row>
    <row r="43" spans="1:12" s="397" customFormat="1">
      <c r="B43" s="832"/>
    </row>
    <row r="44" spans="1:12" s="397" customFormat="1">
      <c r="G44" s="839" t="s">
        <v>1115</v>
      </c>
      <c r="H44" s="838">
        <f>H42/E42</f>
        <v>9.0940828974218263E-2</v>
      </c>
    </row>
    <row r="45" spans="1:12" s="397" customFormat="1"/>
    <row r="46" spans="1:12" s="397" customFormat="1">
      <c r="A46" s="837" t="s">
        <v>7</v>
      </c>
      <c r="B46" s="292" t="s">
        <v>1114</v>
      </c>
      <c r="C46" s="292"/>
      <c r="D46" s="292"/>
      <c r="E46" s="292"/>
      <c r="F46" s="292"/>
      <c r="G46" s="292"/>
      <c r="H46" s="292"/>
      <c r="I46" s="292"/>
      <c r="J46" s="292"/>
      <c r="K46" s="292"/>
      <c r="L46" s="292"/>
    </row>
    <row r="47" spans="1:12">
      <c r="A47" s="2"/>
      <c r="B47" s="836" t="s">
        <v>1113</v>
      </c>
      <c r="C47" s="138"/>
      <c r="D47" s="138"/>
      <c r="E47" s="138"/>
      <c r="F47" s="2"/>
      <c r="G47" s="22"/>
      <c r="H47" s="22"/>
      <c r="I47" s="22"/>
      <c r="J47" s="22"/>
      <c r="K47" s="22"/>
      <c r="L47" s="22"/>
    </row>
    <row r="48" spans="1:12">
      <c r="A48" s="37"/>
      <c r="B48" s="37"/>
      <c r="C48" s="37"/>
      <c r="D48" s="37"/>
      <c r="E48" s="37"/>
      <c r="F48" s="37"/>
      <c r="G48" s="37"/>
      <c r="H48" s="37"/>
      <c r="I48" s="37"/>
      <c r="J48" s="37"/>
      <c r="K48" s="37"/>
      <c r="L48" s="37"/>
    </row>
    <row r="49" spans="1:12" s="397" customFormat="1">
      <c r="A49" s="397" t="s">
        <v>650</v>
      </c>
      <c r="H49" s="835" t="s">
        <v>1112</v>
      </c>
    </row>
    <row r="50" spans="1:12" s="397" customFormat="1" ht="69.599999999999994" thickBot="1">
      <c r="B50" s="834" t="s">
        <v>47</v>
      </c>
      <c r="C50" s="834" t="s">
        <v>1111</v>
      </c>
      <c r="D50" s="834" t="s">
        <v>1110</v>
      </c>
      <c r="E50" s="834" t="s">
        <v>1109</v>
      </c>
      <c r="F50" s="834" t="s">
        <v>1108</v>
      </c>
      <c r="H50" s="833" t="s">
        <v>47</v>
      </c>
      <c r="I50" s="833" t="s">
        <v>1107</v>
      </c>
      <c r="J50" s="833" t="s">
        <v>1101</v>
      </c>
    </row>
    <row r="51" spans="1:12" s="397" customFormat="1">
      <c r="B51" s="832">
        <f t="shared" ref="B51:B58" si="6">B52-1</f>
        <v>2012</v>
      </c>
      <c r="C51" s="821">
        <f t="shared" ref="C51:C59" si="7">($H$44*C12)/(F33*G33)</f>
        <v>870.49737881324404</v>
      </c>
      <c r="D51" s="831">
        <f t="shared" ref="D51:D59" si="8">1-D33</f>
        <v>7.9365079365079083E-3</v>
      </c>
      <c r="E51" s="821">
        <f t="shared" ref="E51:E59" si="9">C51*D51</f>
        <v>6.9087093556606423</v>
      </c>
      <c r="F51" s="821">
        <f t="shared" ref="F51:F59" si="10">E51+E12</f>
        <v>1008.9087093556607</v>
      </c>
      <c r="H51" s="820">
        <v>2012</v>
      </c>
      <c r="I51" s="819">
        <f t="shared" ref="I51:I59" si="11">E12</f>
        <v>1002</v>
      </c>
      <c r="J51" s="819">
        <f t="shared" ref="J51:J59" si="12">C51-E51</f>
        <v>863.58866945758336</v>
      </c>
    </row>
    <row r="52" spans="1:12" s="397" customFormat="1">
      <c r="B52" s="832">
        <f t="shared" si="6"/>
        <v>2013</v>
      </c>
      <c r="C52" s="821">
        <f t="shared" si="7"/>
        <v>862.92215314277053</v>
      </c>
      <c r="D52" s="831">
        <f t="shared" si="8"/>
        <v>1.9700106656628469E-2</v>
      </c>
      <c r="E52" s="821">
        <f t="shared" si="9"/>
        <v>16.999658453280066</v>
      </c>
      <c r="F52" s="821">
        <f t="shared" si="10"/>
        <v>1061.9996584532801</v>
      </c>
      <c r="H52" s="820">
        <v>2013</v>
      </c>
      <c r="I52" s="819">
        <f t="shared" si="11"/>
        <v>1045</v>
      </c>
      <c r="J52" s="819">
        <f t="shared" si="12"/>
        <v>845.92249468949046</v>
      </c>
    </row>
    <row r="53" spans="1:12" s="397" customFormat="1">
      <c r="B53" s="832">
        <f t="shared" si="6"/>
        <v>2014</v>
      </c>
      <c r="C53" s="821">
        <f t="shared" si="7"/>
        <v>893.54038121881467</v>
      </c>
      <c r="D53" s="831">
        <f t="shared" si="8"/>
        <v>3.7033503591972883E-2</v>
      </c>
      <c r="E53" s="821">
        <f t="shared" si="9"/>
        <v>33.090930917439792</v>
      </c>
      <c r="F53" s="821">
        <f t="shared" si="10"/>
        <v>1249.0909309174399</v>
      </c>
      <c r="H53" s="820">
        <v>2014</v>
      </c>
      <c r="I53" s="819">
        <f t="shared" si="11"/>
        <v>1216</v>
      </c>
      <c r="J53" s="819">
        <f t="shared" si="12"/>
        <v>860.4494503013749</v>
      </c>
    </row>
    <row r="54" spans="1:12" s="397" customFormat="1">
      <c r="B54" s="832">
        <f t="shared" si="6"/>
        <v>2015</v>
      </c>
      <c r="C54" s="821">
        <f t="shared" si="7"/>
        <v>914.80314459164993</v>
      </c>
      <c r="D54" s="831">
        <f t="shared" si="8"/>
        <v>5.9603030851536176E-2</v>
      </c>
      <c r="E54" s="821">
        <f t="shared" si="9"/>
        <v>54.525040050178418</v>
      </c>
      <c r="F54" s="821">
        <f t="shared" si="10"/>
        <v>718.5250400501784</v>
      </c>
      <c r="H54" s="820">
        <v>2015</v>
      </c>
      <c r="I54" s="830">
        <f t="shared" si="11"/>
        <v>664</v>
      </c>
      <c r="J54" s="819">
        <f t="shared" si="12"/>
        <v>860.27810454147152</v>
      </c>
    </row>
    <row r="55" spans="1:12" s="397" customFormat="1">
      <c r="B55" s="832">
        <f t="shared" si="6"/>
        <v>2016</v>
      </c>
      <c r="C55" s="821">
        <f t="shared" si="7"/>
        <v>929.2730997011405</v>
      </c>
      <c r="D55" s="831">
        <f t="shared" si="8"/>
        <v>8.8762626794124166E-2</v>
      </c>
      <c r="E55" s="821">
        <f t="shared" si="9"/>
        <v>82.484721338591271</v>
      </c>
      <c r="F55" s="821">
        <f t="shared" si="10"/>
        <v>792.48472133859127</v>
      </c>
      <c r="H55" s="820">
        <v>2016</v>
      </c>
      <c r="I55" s="830">
        <f t="shared" si="11"/>
        <v>710</v>
      </c>
      <c r="J55" s="819">
        <f t="shared" si="12"/>
        <v>846.78837836254922</v>
      </c>
    </row>
    <row r="56" spans="1:12" s="397" customFormat="1">
      <c r="B56" s="832">
        <f t="shared" si="6"/>
        <v>2017</v>
      </c>
      <c r="C56" s="821">
        <f t="shared" si="7"/>
        <v>957.37152792545521</v>
      </c>
      <c r="D56" s="831">
        <f t="shared" si="8"/>
        <v>0.12716726704418024</v>
      </c>
      <c r="E56" s="821">
        <f t="shared" si="9"/>
        <v>121.74632075219122</v>
      </c>
      <c r="F56" s="821">
        <f t="shared" si="10"/>
        <v>714.7463207521912</v>
      </c>
      <c r="H56" s="820">
        <v>2017</v>
      </c>
      <c r="I56" s="830">
        <f t="shared" si="11"/>
        <v>593</v>
      </c>
      <c r="J56" s="819">
        <f t="shared" si="12"/>
        <v>835.62520717326402</v>
      </c>
    </row>
    <row r="57" spans="1:12" s="397" customFormat="1">
      <c r="B57" s="832">
        <f t="shared" si="6"/>
        <v>2018</v>
      </c>
      <c r="C57" s="821">
        <f t="shared" si="7"/>
        <v>983.83835189459796</v>
      </c>
      <c r="D57" s="831">
        <f t="shared" si="8"/>
        <v>0.18503012795908513</v>
      </c>
      <c r="E57" s="821">
        <f t="shared" si="9"/>
        <v>182.0397361421129</v>
      </c>
      <c r="F57" s="821">
        <f t="shared" si="10"/>
        <v>921.03973614211293</v>
      </c>
      <c r="H57" s="820">
        <v>2018</v>
      </c>
      <c r="I57" s="830">
        <f t="shared" si="11"/>
        <v>739</v>
      </c>
      <c r="J57" s="819">
        <f t="shared" si="12"/>
        <v>801.79861575248503</v>
      </c>
    </row>
    <row r="58" spans="1:12" s="397" customFormat="1">
      <c r="B58" s="832">
        <f t="shared" si="6"/>
        <v>2019</v>
      </c>
      <c r="C58" s="821">
        <f t="shared" si="7"/>
        <v>949.73457652974002</v>
      </c>
      <c r="D58" s="831">
        <f t="shared" si="8"/>
        <v>0.30165392284411752</v>
      </c>
      <c r="E58" s="821">
        <f t="shared" si="9"/>
        <v>286.49116067089284</v>
      </c>
      <c r="F58" s="821">
        <f t="shared" si="10"/>
        <v>918.4911606708929</v>
      </c>
      <c r="H58" s="820">
        <v>2019</v>
      </c>
      <c r="I58" s="830">
        <f t="shared" si="11"/>
        <v>632</v>
      </c>
      <c r="J58" s="819">
        <f t="shared" si="12"/>
        <v>663.24341585884713</v>
      </c>
    </row>
    <row r="59" spans="1:12" s="397" customFormat="1" ht="16.2" thickBot="1">
      <c r="B59" s="829">
        <v>2020</v>
      </c>
      <c r="C59" s="827">
        <f t="shared" si="7"/>
        <v>963.15431966594565</v>
      </c>
      <c r="D59" s="828">
        <f t="shared" si="8"/>
        <v>0.53443594856274501</v>
      </c>
      <c r="E59" s="827">
        <f t="shared" si="9"/>
        <v>514.74429244297505</v>
      </c>
      <c r="F59" s="827">
        <f t="shared" si="10"/>
        <v>962.74429244297505</v>
      </c>
      <c r="H59" s="826">
        <v>2020</v>
      </c>
      <c r="I59" s="825">
        <f t="shared" si="11"/>
        <v>448</v>
      </c>
      <c r="J59" s="824">
        <f t="shared" si="12"/>
        <v>448.4100272229706</v>
      </c>
    </row>
    <row r="60" spans="1:12" s="397" customFormat="1">
      <c r="B60" s="823" t="s">
        <v>98</v>
      </c>
      <c r="C60" s="821">
        <f>SUM(C51:C59)</f>
        <v>8325.1349334833576</v>
      </c>
      <c r="D60" s="822"/>
      <c r="E60" s="821">
        <f>SUM(E51:E59)</f>
        <v>1299.0305701233224</v>
      </c>
      <c r="F60" s="821">
        <f>SUM(F51:F59)</f>
        <v>8348.0305701233228</v>
      </c>
      <c r="H60" s="820" t="s">
        <v>98</v>
      </c>
      <c r="I60" s="819">
        <f>SUM(I51:I59)</f>
        <v>7049</v>
      </c>
      <c r="J60" s="819">
        <f>SUM(J51:J59)</f>
        <v>7026.1043633600357</v>
      </c>
    </row>
    <row r="62" spans="1:12">
      <c r="A62" s="577" t="s">
        <v>4</v>
      </c>
      <c r="B62" s="1724" t="s">
        <v>1106</v>
      </c>
      <c r="C62" s="1724"/>
      <c r="D62" s="1724"/>
      <c r="E62" s="1724"/>
      <c r="F62" s="1724"/>
      <c r="G62" s="1724"/>
      <c r="H62" s="1724"/>
      <c r="I62" s="1724"/>
      <c r="J62" s="1724"/>
      <c r="K62" s="1724"/>
      <c r="L62" s="22"/>
    </row>
    <row r="63" spans="1:12">
      <c r="A63" s="577"/>
      <c r="B63" s="1724"/>
      <c r="C63" s="1724"/>
      <c r="D63" s="1724"/>
      <c r="E63" s="1724"/>
      <c r="F63" s="1724"/>
      <c r="G63" s="1724"/>
      <c r="H63" s="1724"/>
      <c r="I63" s="1724"/>
      <c r="J63" s="1724"/>
      <c r="K63" s="1724"/>
      <c r="L63" s="22"/>
    </row>
    <row r="64" spans="1:12">
      <c r="A64" s="2"/>
      <c r="B64" s="2"/>
      <c r="C64" s="2"/>
      <c r="D64" s="2"/>
      <c r="E64" s="2"/>
      <c r="F64" s="2"/>
      <c r="G64" s="22"/>
      <c r="H64" s="22"/>
      <c r="I64" s="22"/>
      <c r="J64" s="22"/>
      <c r="K64" s="22"/>
      <c r="L64" s="22"/>
    </row>
    <row r="65" spans="1:14">
      <c r="A65" s="37"/>
      <c r="B65" s="37"/>
      <c r="C65" s="37"/>
      <c r="D65" s="37"/>
      <c r="E65" s="37"/>
      <c r="F65" s="37"/>
      <c r="G65" s="37"/>
      <c r="H65" s="37"/>
      <c r="I65" s="37"/>
      <c r="J65" s="37"/>
      <c r="K65" s="37"/>
      <c r="L65" s="37"/>
    </row>
    <row r="66" spans="1:14">
      <c r="A66" s="37" t="s">
        <v>650</v>
      </c>
      <c r="B66" s="37"/>
      <c r="C66" s="37"/>
      <c r="D66" s="37"/>
      <c r="E66" s="37"/>
      <c r="F66" s="37"/>
      <c r="G66" s="37"/>
      <c r="H66" s="37"/>
      <c r="I66" s="37"/>
      <c r="J66" s="37"/>
      <c r="K66" s="37"/>
      <c r="L66" s="37"/>
    </row>
    <row r="67" spans="1:14" ht="42">
      <c r="A67" s="37"/>
      <c r="B67" s="818" t="s">
        <v>47</v>
      </c>
      <c r="C67" s="818" t="s">
        <v>1102</v>
      </c>
      <c r="D67" s="818" t="s">
        <v>1105</v>
      </c>
      <c r="E67" s="818" t="s">
        <v>1100</v>
      </c>
      <c r="F67" s="37"/>
      <c r="G67" s="37"/>
      <c r="H67" s="37"/>
      <c r="I67" s="37"/>
      <c r="J67" s="37"/>
      <c r="K67" s="37"/>
      <c r="L67" s="37"/>
    </row>
    <row r="68" spans="1:14">
      <c r="A68" s="37"/>
      <c r="B68" s="817">
        <f t="shared" ref="B68:B75" si="13">B69-1</f>
        <v>2012</v>
      </c>
      <c r="C68" s="813">
        <f t="shared" ref="C68:C76" si="14">E12</f>
        <v>1002</v>
      </c>
      <c r="D68" s="813">
        <f t="shared" ref="D68:D76" si="15">C51-E51</f>
        <v>863.58866945758336</v>
      </c>
      <c r="E68" s="813">
        <f t="shared" ref="E68:E76" si="16">C68-D68</f>
        <v>138.41133054241664</v>
      </c>
      <c r="F68" s="37"/>
      <c r="G68" s="37"/>
      <c r="H68" s="37"/>
      <c r="I68" s="37"/>
      <c r="J68" s="37"/>
      <c r="K68" s="37"/>
      <c r="L68" s="37"/>
    </row>
    <row r="69" spans="1:14">
      <c r="A69" s="37"/>
      <c r="B69" s="817">
        <f t="shared" si="13"/>
        <v>2013</v>
      </c>
      <c r="C69" s="813">
        <f t="shared" si="14"/>
        <v>1045</v>
      </c>
      <c r="D69" s="813">
        <f t="shared" si="15"/>
        <v>845.92249468949046</v>
      </c>
      <c r="E69" s="813">
        <f t="shared" si="16"/>
        <v>199.07750531050954</v>
      </c>
      <c r="F69" s="37"/>
      <c r="G69" s="37"/>
      <c r="H69" s="37"/>
      <c r="I69" s="37"/>
      <c r="J69" s="37"/>
      <c r="K69" s="37"/>
      <c r="L69" s="37"/>
    </row>
    <row r="70" spans="1:14">
      <c r="A70" s="37"/>
      <c r="B70" s="817">
        <f t="shared" si="13"/>
        <v>2014</v>
      </c>
      <c r="C70" s="813">
        <f t="shared" si="14"/>
        <v>1216</v>
      </c>
      <c r="D70" s="813">
        <f t="shared" si="15"/>
        <v>860.4494503013749</v>
      </c>
      <c r="E70" s="813">
        <f t="shared" si="16"/>
        <v>355.5505496986251</v>
      </c>
      <c r="F70" s="37"/>
      <c r="G70" s="37"/>
      <c r="H70" s="37"/>
      <c r="I70" s="37"/>
      <c r="J70" s="37"/>
      <c r="K70" s="37"/>
      <c r="L70" s="37"/>
    </row>
    <row r="71" spans="1:14">
      <c r="A71" s="37"/>
      <c r="B71" s="817">
        <f t="shared" si="13"/>
        <v>2015</v>
      </c>
      <c r="C71" s="813">
        <f t="shared" si="14"/>
        <v>664</v>
      </c>
      <c r="D71" s="813">
        <f t="shared" si="15"/>
        <v>860.27810454147152</v>
      </c>
      <c r="E71" s="813">
        <f t="shared" si="16"/>
        <v>-196.27810454147152</v>
      </c>
      <c r="F71" s="37"/>
      <c r="G71" s="37"/>
      <c r="H71" s="37"/>
      <c r="I71" s="37"/>
      <c r="J71" s="37"/>
      <c r="K71" s="37"/>
      <c r="L71" s="37"/>
    </row>
    <row r="72" spans="1:14">
      <c r="A72" s="37"/>
      <c r="B72" s="817">
        <f t="shared" si="13"/>
        <v>2016</v>
      </c>
      <c r="C72" s="813">
        <f t="shared" si="14"/>
        <v>710</v>
      </c>
      <c r="D72" s="813">
        <f t="shared" si="15"/>
        <v>846.78837836254922</v>
      </c>
      <c r="E72" s="813">
        <f t="shared" si="16"/>
        <v>-136.78837836254922</v>
      </c>
      <c r="F72" s="37"/>
      <c r="G72" s="37"/>
      <c r="H72" s="37"/>
      <c r="I72" s="37"/>
      <c r="J72" s="37"/>
      <c r="K72" s="37"/>
      <c r="L72" s="37"/>
    </row>
    <row r="73" spans="1:14">
      <c r="A73" s="37"/>
      <c r="B73" s="817">
        <f t="shared" si="13"/>
        <v>2017</v>
      </c>
      <c r="C73" s="813">
        <f t="shared" si="14"/>
        <v>593</v>
      </c>
      <c r="D73" s="813">
        <f t="shared" si="15"/>
        <v>835.62520717326402</v>
      </c>
      <c r="E73" s="813">
        <f t="shared" si="16"/>
        <v>-242.62520717326402</v>
      </c>
      <c r="F73" s="37"/>
      <c r="G73" s="37"/>
      <c r="H73" s="37"/>
      <c r="I73" s="37"/>
      <c r="J73" s="37"/>
      <c r="K73" s="37"/>
      <c r="L73" s="37"/>
    </row>
    <row r="74" spans="1:14">
      <c r="A74" s="37"/>
      <c r="B74" s="817">
        <f t="shared" si="13"/>
        <v>2018</v>
      </c>
      <c r="C74" s="813">
        <f t="shared" si="14"/>
        <v>739</v>
      </c>
      <c r="D74" s="813">
        <f t="shared" si="15"/>
        <v>801.79861575248503</v>
      </c>
      <c r="E74" s="813">
        <f t="shared" si="16"/>
        <v>-62.798615752485034</v>
      </c>
      <c r="F74" s="37"/>
      <c r="G74" s="37"/>
      <c r="H74" s="37"/>
      <c r="I74" s="37"/>
      <c r="J74" s="37"/>
      <c r="K74" s="37"/>
      <c r="L74" s="37"/>
    </row>
    <row r="75" spans="1:14">
      <c r="B75" s="817">
        <f t="shared" si="13"/>
        <v>2019</v>
      </c>
      <c r="C75" s="813">
        <f t="shared" si="14"/>
        <v>632</v>
      </c>
      <c r="D75" s="813">
        <f t="shared" si="15"/>
        <v>663.24341585884713</v>
      </c>
      <c r="E75" s="813">
        <f t="shared" si="16"/>
        <v>-31.243415858847129</v>
      </c>
    </row>
    <row r="76" spans="1:14">
      <c r="B76" s="816">
        <v>2020</v>
      </c>
      <c r="C76" s="815">
        <f t="shared" si="14"/>
        <v>448</v>
      </c>
      <c r="D76" s="815">
        <f t="shared" si="15"/>
        <v>448.4100272229706</v>
      </c>
      <c r="E76" s="815">
        <f t="shared" si="16"/>
        <v>-0.4100272229705979</v>
      </c>
    </row>
    <row r="77" spans="1:14">
      <c r="B77" s="814" t="s">
        <v>98</v>
      </c>
      <c r="C77" s="813">
        <f>SUM(C68:C76)</f>
        <v>7049</v>
      </c>
      <c r="D77" s="813">
        <f>SUM(D68:D76)</f>
        <v>7026.1043633600357</v>
      </c>
      <c r="E77" s="813">
        <f>SUM(E68:E76)</f>
        <v>22.895636639963755</v>
      </c>
      <c r="M77" s="37"/>
      <c r="N77" s="37"/>
    </row>
    <row r="79" spans="1:14">
      <c r="A79" s="1724" t="s">
        <v>1104</v>
      </c>
      <c r="B79" s="1724"/>
      <c r="C79" s="1724"/>
      <c r="D79" s="1724"/>
      <c r="E79" s="1724"/>
      <c r="F79" s="1724"/>
      <c r="G79" s="1724"/>
      <c r="H79" s="1724"/>
      <c r="I79" s="1724"/>
      <c r="J79" s="1724"/>
      <c r="K79" s="1724"/>
      <c r="L79" s="22"/>
    </row>
    <row r="80" spans="1:14">
      <c r="A80" s="1724"/>
      <c r="B80" s="1724"/>
      <c r="C80" s="1724"/>
      <c r="D80" s="1724"/>
      <c r="E80" s="1724"/>
      <c r="F80" s="1724"/>
      <c r="G80" s="1724"/>
      <c r="H80" s="1724"/>
      <c r="I80" s="1724"/>
      <c r="J80" s="1724"/>
      <c r="K80" s="1724"/>
      <c r="L80" s="22"/>
    </row>
    <row r="81" spans="1:12">
      <c r="A81" s="22"/>
      <c r="B81" s="22"/>
      <c r="C81" s="22"/>
      <c r="D81" s="22"/>
      <c r="E81" s="22"/>
      <c r="F81" s="22"/>
      <c r="G81" s="22"/>
      <c r="H81" s="22"/>
      <c r="I81" s="22"/>
      <c r="J81" s="22"/>
      <c r="K81" s="22"/>
      <c r="L81" s="22"/>
    </row>
    <row r="82" spans="1:12">
      <c r="A82" s="22"/>
      <c r="B82" s="812"/>
      <c r="C82" s="1748" t="s">
        <v>1103</v>
      </c>
      <c r="D82" s="1754"/>
      <c r="E82" s="1754"/>
      <c r="F82" s="22"/>
      <c r="G82" s="22"/>
      <c r="H82" s="22"/>
      <c r="I82" s="22"/>
      <c r="J82" s="22"/>
      <c r="K82" s="22"/>
      <c r="L82" s="22"/>
    </row>
    <row r="83" spans="1:12" ht="46.8">
      <c r="A83" s="22"/>
      <c r="B83" s="811" t="s">
        <v>31</v>
      </c>
      <c r="C83" s="337" t="s">
        <v>1102</v>
      </c>
      <c r="D83" s="334" t="s">
        <v>1101</v>
      </c>
      <c r="E83" s="334" t="s">
        <v>1100</v>
      </c>
      <c r="F83" s="22"/>
      <c r="G83" s="22"/>
      <c r="H83" s="22"/>
      <c r="I83" s="22"/>
      <c r="J83" s="22"/>
      <c r="K83" s="22"/>
      <c r="L83" s="22"/>
    </row>
    <row r="84" spans="1:12">
      <c r="A84" s="22"/>
      <c r="B84" s="810">
        <v>2012</v>
      </c>
      <c r="C84" s="580">
        <v>8363</v>
      </c>
      <c r="D84" s="580">
        <v>7570</v>
      </c>
      <c r="E84" s="809">
        <v>793</v>
      </c>
      <c r="F84" s="22"/>
      <c r="G84" s="22"/>
      <c r="H84" s="22"/>
      <c r="I84" s="22"/>
      <c r="J84" s="22"/>
      <c r="K84" s="22"/>
      <c r="L84" s="22"/>
    </row>
    <row r="85" spans="1:12">
      <c r="A85" s="22"/>
      <c r="B85" s="530">
        <v>2013</v>
      </c>
      <c r="C85" s="580">
        <v>8186</v>
      </c>
      <c r="D85" s="580">
        <v>7331</v>
      </c>
      <c r="E85" s="809">
        <v>855</v>
      </c>
      <c r="F85" s="22"/>
      <c r="G85" s="22"/>
      <c r="H85" s="22"/>
      <c r="I85" s="22"/>
      <c r="J85" s="22"/>
      <c r="K85" s="22"/>
      <c r="L85" s="22"/>
    </row>
    <row r="86" spans="1:12">
      <c r="A86" s="22"/>
      <c r="B86" s="530">
        <v>2014</v>
      </c>
      <c r="C86" s="580">
        <v>7047</v>
      </c>
      <c r="D86" s="580">
        <v>6145</v>
      </c>
      <c r="E86" s="809">
        <v>902</v>
      </c>
      <c r="F86" s="22"/>
      <c r="G86" s="22"/>
      <c r="H86" s="22"/>
      <c r="I86" s="22"/>
      <c r="J86" s="22"/>
      <c r="K86" s="22"/>
      <c r="L86" s="22"/>
    </row>
    <row r="87" spans="1:12">
      <c r="A87" s="22"/>
      <c r="B87" s="530">
        <v>2015</v>
      </c>
      <c r="C87" s="580">
        <v>5540</v>
      </c>
      <c r="D87" s="580">
        <v>4612</v>
      </c>
      <c r="E87" s="809">
        <v>928</v>
      </c>
      <c r="F87" s="22"/>
      <c r="G87" s="22"/>
      <c r="H87" s="22"/>
      <c r="I87" s="22"/>
      <c r="J87" s="22"/>
      <c r="K87" s="22"/>
      <c r="L87" s="22"/>
    </row>
    <row r="88" spans="1:12">
      <c r="A88" s="22"/>
      <c r="B88" s="530">
        <v>2016</v>
      </c>
      <c r="C88" s="580">
        <v>6035</v>
      </c>
      <c r="D88" s="580">
        <v>7629</v>
      </c>
      <c r="E88" s="809">
        <v>-1594</v>
      </c>
      <c r="F88" s="22"/>
      <c r="G88" s="22"/>
      <c r="H88" s="22"/>
      <c r="I88" s="22"/>
      <c r="J88" s="22"/>
      <c r="K88" s="22"/>
      <c r="L88" s="22"/>
    </row>
    <row r="89" spans="1:12">
      <c r="A89" s="22"/>
      <c r="B89" s="530">
        <v>2017</v>
      </c>
      <c r="C89" s="580">
        <v>5041</v>
      </c>
      <c r="D89" s="580">
        <v>7521</v>
      </c>
      <c r="E89" s="809">
        <v>-2480</v>
      </c>
      <c r="F89" s="22"/>
      <c r="G89" s="22"/>
      <c r="H89" s="22"/>
      <c r="I89" s="22"/>
      <c r="J89" s="22"/>
      <c r="K89" s="22"/>
      <c r="L89" s="22"/>
    </row>
    <row r="90" spans="1:12">
      <c r="A90" s="22"/>
      <c r="B90" s="530">
        <v>2018</v>
      </c>
      <c r="C90" s="580">
        <v>6282</v>
      </c>
      <c r="D90" s="580">
        <v>7406</v>
      </c>
      <c r="E90" s="809">
        <v>-1124</v>
      </c>
      <c r="F90" s="22"/>
      <c r="G90" s="22"/>
      <c r="H90" s="22"/>
      <c r="I90" s="22"/>
      <c r="J90" s="22"/>
      <c r="K90" s="22"/>
      <c r="L90" s="22"/>
    </row>
    <row r="91" spans="1:12">
      <c r="A91" s="22"/>
      <c r="B91" s="530">
        <v>2019</v>
      </c>
      <c r="C91" s="580">
        <v>5372</v>
      </c>
      <c r="D91" s="580">
        <v>6233</v>
      </c>
      <c r="E91" s="809">
        <v>-861</v>
      </c>
      <c r="F91" s="22"/>
      <c r="G91" s="22"/>
      <c r="H91" s="22"/>
      <c r="I91" s="22"/>
      <c r="J91" s="22"/>
      <c r="K91" s="22"/>
      <c r="L91" s="22"/>
    </row>
    <row r="92" spans="1:12">
      <c r="A92" s="22"/>
      <c r="B92" s="530">
        <v>2020</v>
      </c>
      <c r="C92" s="580">
        <v>3808</v>
      </c>
      <c r="D92" s="580">
        <v>4465</v>
      </c>
      <c r="E92" s="809">
        <v>-657</v>
      </c>
      <c r="F92" s="22"/>
      <c r="G92" s="22"/>
      <c r="H92" s="22"/>
      <c r="I92" s="22"/>
      <c r="J92" s="22"/>
      <c r="K92" s="22"/>
      <c r="L92" s="22"/>
    </row>
    <row r="93" spans="1:12">
      <c r="A93" s="22"/>
      <c r="B93" s="528" t="s">
        <v>98</v>
      </c>
      <c r="C93" s="808">
        <v>55674</v>
      </c>
      <c r="D93" s="808">
        <v>58912</v>
      </c>
      <c r="E93" s="807">
        <v>-3238</v>
      </c>
      <c r="F93" s="22"/>
      <c r="G93" s="22"/>
      <c r="H93" s="22"/>
      <c r="I93" s="22"/>
      <c r="J93" s="22"/>
      <c r="K93" s="22"/>
      <c r="L93" s="22"/>
    </row>
    <row r="94" spans="1:12">
      <c r="A94" s="22"/>
      <c r="B94" s="22"/>
      <c r="C94" s="22"/>
      <c r="D94" s="22"/>
      <c r="E94" s="22"/>
      <c r="F94" s="22"/>
      <c r="G94" s="22"/>
      <c r="H94" s="22"/>
      <c r="I94" s="22"/>
      <c r="J94" s="22"/>
      <c r="K94" s="22"/>
      <c r="L94" s="22"/>
    </row>
    <row r="95" spans="1:12">
      <c r="A95" s="1724" t="s">
        <v>1099</v>
      </c>
      <c r="B95" s="1724"/>
      <c r="C95" s="1724"/>
      <c r="D95" s="1724"/>
      <c r="E95" s="1724"/>
      <c r="F95" s="1724"/>
      <c r="G95" s="1724"/>
      <c r="H95" s="1724"/>
      <c r="I95" s="1724"/>
      <c r="J95" s="1724"/>
      <c r="K95" s="1724"/>
      <c r="L95" s="22"/>
    </row>
    <row r="96" spans="1:12">
      <c r="A96" s="1724"/>
      <c r="B96" s="1724"/>
      <c r="C96" s="1724"/>
      <c r="D96" s="1724"/>
      <c r="E96" s="1724"/>
      <c r="F96" s="1724"/>
      <c r="G96" s="1724"/>
      <c r="H96" s="1724"/>
      <c r="I96" s="1724"/>
      <c r="J96" s="1724"/>
      <c r="K96" s="1724"/>
      <c r="L96" s="22"/>
    </row>
    <row r="97" spans="1:13">
      <c r="A97" s="1724"/>
      <c r="B97" s="1724"/>
      <c r="C97" s="1724"/>
      <c r="D97" s="1724"/>
      <c r="E97" s="1724"/>
      <c r="F97" s="1724"/>
      <c r="G97" s="1724"/>
      <c r="H97" s="1724"/>
      <c r="I97" s="1724"/>
      <c r="J97" s="1724"/>
      <c r="K97" s="1724"/>
      <c r="L97" s="22"/>
    </row>
    <row r="98" spans="1:13">
      <c r="A98" s="1724"/>
      <c r="B98" s="1724"/>
      <c r="C98" s="1724"/>
      <c r="D98" s="1724"/>
      <c r="E98" s="1724"/>
      <c r="F98" s="1724"/>
      <c r="G98" s="1724"/>
      <c r="H98" s="1724"/>
      <c r="I98" s="1724"/>
      <c r="J98" s="1724"/>
      <c r="K98" s="1724"/>
      <c r="L98" s="22"/>
    </row>
    <row r="99" spans="1:13">
      <c r="A99" s="22"/>
      <c r="B99" s="22"/>
      <c r="C99" s="22"/>
      <c r="D99" s="22"/>
      <c r="E99" s="22"/>
      <c r="F99" s="22"/>
      <c r="G99" s="22"/>
      <c r="H99" s="22"/>
      <c r="I99" s="22"/>
      <c r="J99" s="22"/>
      <c r="K99" s="22"/>
      <c r="L99" s="22"/>
    </row>
    <row r="100" spans="1:13">
      <c r="A100" s="2"/>
      <c r="B100" s="2"/>
      <c r="C100" s="2"/>
      <c r="D100" s="2"/>
      <c r="E100" s="2"/>
      <c r="F100" s="2"/>
      <c r="G100" s="2"/>
      <c r="H100" s="2"/>
      <c r="I100" s="2"/>
      <c r="J100" s="2"/>
      <c r="K100" s="2"/>
      <c r="L100" s="2"/>
    </row>
    <row r="101" spans="1:13">
      <c r="A101" s="577" t="s">
        <v>48</v>
      </c>
      <c r="B101" s="22" t="s">
        <v>1098</v>
      </c>
      <c r="C101" s="22"/>
      <c r="D101" s="22"/>
      <c r="E101" s="22"/>
      <c r="F101" s="22"/>
      <c r="G101" s="22"/>
      <c r="H101" s="22"/>
      <c r="I101" s="22"/>
      <c r="J101" s="22"/>
      <c r="K101" s="22"/>
      <c r="L101" s="22"/>
    </row>
    <row r="102" spans="1:13">
      <c r="A102" s="2"/>
      <c r="B102" s="2"/>
      <c r="C102" s="2"/>
      <c r="D102" s="2"/>
      <c r="E102" s="2"/>
      <c r="F102" s="2"/>
      <c r="G102" s="22"/>
      <c r="H102" s="22"/>
      <c r="I102" s="22"/>
      <c r="J102" s="22"/>
      <c r="K102" s="22"/>
      <c r="L102" s="22"/>
    </row>
    <row r="103" spans="1:13">
      <c r="A103" s="37"/>
      <c r="B103" s="37"/>
      <c r="C103" s="37"/>
      <c r="D103" s="37"/>
      <c r="E103" s="37"/>
      <c r="F103" s="37"/>
      <c r="G103" s="37"/>
      <c r="H103" s="37"/>
      <c r="I103" s="37"/>
      <c r="J103" s="37"/>
      <c r="K103" s="37"/>
      <c r="L103" s="37"/>
    </row>
    <row r="104" spans="1:13">
      <c r="A104" s="37" t="s">
        <v>650</v>
      </c>
      <c r="B104" s="37"/>
      <c r="C104" s="37"/>
      <c r="D104" s="37"/>
      <c r="E104" s="37"/>
      <c r="F104" s="37"/>
      <c r="G104" s="37"/>
      <c r="H104" s="37"/>
      <c r="I104" s="37"/>
      <c r="J104" s="37"/>
      <c r="K104" s="37"/>
      <c r="L104" s="37"/>
    </row>
    <row r="105" spans="1:13">
      <c r="A105" s="37"/>
      <c r="B105" s="37"/>
      <c r="C105" s="37"/>
      <c r="D105" s="37"/>
      <c r="E105" s="37"/>
      <c r="F105" s="37"/>
      <c r="G105" s="37"/>
      <c r="H105" s="37"/>
      <c r="I105" s="37"/>
      <c r="J105" s="37"/>
      <c r="K105" s="37"/>
      <c r="L105" s="37"/>
    </row>
    <row r="106" spans="1:13">
      <c r="A106" s="37" t="s">
        <v>1097</v>
      </c>
      <c r="B106" s="37"/>
      <c r="C106" s="37"/>
      <c r="D106" s="37"/>
      <c r="E106" s="37"/>
      <c r="F106" s="37"/>
      <c r="G106" s="37"/>
      <c r="H106" s="37"/>
      <c r="I106" s="37"/>
      <c r="J106" s="37"/>
      <c r="K106" s="37"/>
      <c r="L106" s="37"/>
    </row>
    <row r="107" spans="1:13">
      <c r="A107" s="1" t="s">
        <v>1096</v>
      </c>
    </row>
    <row r="108" spans="1:13">
      <c r="A108" s="1" t="s">
        <v>1095</v>
      </c>
    </row>
    <row r="109" spans="1:13">
      <c r="M109" s="37"/>
    </row>
    <row r="110" spans="1:13">
      <c r="M110" s="37"/>
    </row>
  </sheetData>
  <mergeCells count="7">
    <mergeCell ref="A95:K98"/>
    <mergeCell ref="B10:B11"/>
    <mergeCell ref="C10:C11"/>
    <mergeCell ref="F10:F11"/>
    <mergeCell ref="B62:K63"/>
    <mergeCell ref="A79:K80"/>
    <mergeCell ref="C82:E82"/>
  </mergeCells>
  <pageMargins left="0.7" right="0.7" top="0.75" bottom="0.75" header="0.3" footer="0.3"/>
  <pageSetup scale="68"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A1C68-9A5A-42BD-AA5F-25832F5F95DA}">
  <dimension ref="A1:M204"/>
  <sheetViews>
    <sheetView zoomScaleNormal="100" workbookViewId="0"/>
  </sheetViews>
  <sheetFormatPr defaultColWidth="8.88671875" defaultRowHeight="15.6"/>
  <cols>
    <col min="1" max="1" width="8.88671875" style="1" customWidth="1"/>
    <col min="2" max="2" width="15.33203125" style="1" customWidth="1"/>
    <col min="3" max="4" width="13.33203125" style="1" customWidth="1"/>
    <col min="5" max="5" width="15.6640625" style="1" customWidth="1"/>
    <col min="6" max="6" width="14.88671875" style="1" customWidth="1"/>
    <col min="7" max="7" width="18.6640625" style="1" customWidth="1"/>
    <col min="8" max="11" width="13.33203125" style="1" customWidth="1"/>
    <col min="12" max="16384" width="8.88671875" style="1"/>
  </cols>
  <sheetData>
    <row r="1" spans="1:12" ht="17.399999999999999">
      <c r="A1" s="23" t="s">
        <v>1201</v>
      </c>
      <c r="B1" s="22"/>
      <c r="C1" s="292" t="s">
        <v>1200</v>
      </c>
      <c r="D1" s="22"/>
      <c r="E1" s="22"/>
      <c r="F1" s="22"/>
      <c r="G1" s="22"/>
      <c r="H1" s="22"/>
      <c r="I1" s="22"/>
      <c r="J1" s="22"/>
      <c r="K1" s="22"/>
      <c r="L1" s="2"/>
    </row>
    <row r="2" spans="1:12">
      <c r="A2" s="836" t="s">
        <v>1199</v>
      </c>
      <c r="B2" s="343"/>
      <c r="C2" s="343"/>
      <c r="D2" s="343"/>
      <c r="E2" s="22"/>
      <c r="F2" s="22"/>
      <c r="G2" s="22"/>
      <c r="H2" s="22"/>
      <c r="I2" s="22"/>
      <c r="J2" s="22"/>
      <c r="K2" s="22"/>
      <c r="L2" s="2"/>
    </row>
    <row r="3" spans="1:12">
      <c r="A3" s="292" t="s">
        <v>1198</v>
      </c>
      <c r="B3" s="22"/>
      <c r="C3" s="22"/>
      <c r="D3" s="22"/>
      <c r="E3" s="22"/>
      <c r="F3" s="22"/>
      <c r="G3" s="22"/>
      <c r="H3" s="22"/>
      <c r="I3" s="22"/>
      <c r="J3" s="22"/>
      <c r="K3" s="22"/>
      <c r="L3" s="2"/>
    </row>
    <row r="4" spans="1:12">
      <c r="A4" s="593"/>
      <c r="B4" s="22"/>
      <c r="C4" s="22"/>
      <c r="D4" s="22"/>
      <c r="E4" s="22"/>
      <c r="F4" s="22"/>
      <c r="G4" s="22"/>
      <c r="H4" s="22"/>
      <c r="I4" s="22"/>
      <c r="J4" s="22"/>
      <c r="K4" s="22"/>
      <c r="L4" s="22"/>
    </row>
    <row r="5" spans="1:12">
      <c r="A5" s="593"/>
      <c r="B5" s="904" t="s">
        <v>1068</v>
      </c>
      <c r="C5" s="1754" t="s">
        <v>1092</v>
      </c>
      <c r="D5" s="1754"/>
      <c r="E5" s="1754"/>
      <c r="F5" s="1754"/>
      <c r="G5" s="1754"/>
      <c r="H5" s="1754"/>
      <c r="I5" s="1754"/>
      <c r="J5" s="904" t="s">
        <v>115</v>
      </c>
      <c r="K5" s="22"/>
      <c r="L5" s="22"/>
    </row>
    <row r="6" spans="1:12">
      <c r="A6" s="593"/>
      <c r="B6" s="798" t="s">
        <v>76</v>
      </c>
      <c r="C6" s="528">
        <v>12</v>
      </c>
      <c r="D6" s="528">
        <v>24</v>
      </c>
      <c r="E6" s="528">
        <v>36</v>
      </c>
      <c r="F6" s="528">
        <v>48</v>
      </c>
      <c r="G6" s="528">
        <v>60</v>
      </c>
      <c r="H6" s="528">
        <v>72</v>
      </c>
      <c r="I6" s="528">
        <v>84</v>
      </c>
      <c r="J6" s="798" t="s">
        <v>1142</v>
      </c>
      <c r="K6" s="22"/>
      <c r="L6" s="22"/>
    </row>
    <row r="7" spans="1:12">
      <c r="A7" s="593"/>
      <c r="B7" s="530">
        <v>2015</v>
      </c>
      <c r="C7" s="580">
        <v>26457</v>
      </c>
      <c r="D7" s="580">
        <v>24686</v>
      </c>
      <c r="E7" s="580">
        <v>25884</v>
      </c>
      <c r="F7" s="580">
        <v>32193</v>
      </c>
      <c r="G7" s="580">
        <v>32398</v>
      </c>
      <c r="H7" s="580">
        <v>32722</v>
      </c>
      <c r="I7" s="580">
        <v>32886</v>
      </c>
      <c r="J7" s="580">
        <v>33051</v>
      </c>
      <c r="K7" s="22"/>
      <c r="L7" s="22"/>
    </row>
    <row r="8" spans="1:12">
      <c r="A8" s="593"/>
      <c r="B8" s="530">
        <v>2016</v>
      </c>
      <c r="C8" s="580">
        <v>24327</v>
      </c>
      <c r="D8" s="580">
        <v>23397</v>
      </c>
      <c r="E8" s="580">
        <v>26233</v>
      </c>
      <c r="F8" s="580">
        <v>33132</v>
      </c>
      <c r="G8" s="580">
        <v>34281</v>
      </c>
      <c r="H8" s="580">
        <v>34555</v>
      </c>
      <c r="I8" s="530"/>
      <c r="J8" s="580">
        <v>34902</v>
      </c>
      <c r="K8" s="22"/>
      <c r="L8" s="22"/>
    </row>
    <row r="9" spans="1:12">
      <c r="A9" s="22"/>
      <c r="B9" s="530">
        <v>2017</v>
      </c>
      <c r="C9" s="580">
        <v>29941</v>
      </c>
      <c r="D9" s="580">
        <v>26497</v>
      </c>
      <c r="E9" s="580">
        <v>27059</v>
      </c>
      <c r="F9" s="580">
        <v>35029</v>
      </c>
      <c r="G9" s="580">
        <v>35972</v>
      </c>
      <c r="H9" s="530"/>
      <c r="I9" s="530"/>
      <c r="J9" s="580">
        <v>36660</v>
      </c>
      <c r="K9" s="22"/>
      <c r="L9" s="22"/>
    </row>
    <row r="10" spans="1:12">
      <c r="A10" s="22"/>
      <c r="B10" s="530">
        <v>2018</v>
      </c>
      <c r="C10" s="580">
        <v>27447</v>
      </c>
      <c r="D10" s="580">
        <v>28164</v>
      </c>
      <c r="E10" s="580">
        <v>32125</v>
      </c>
      <c r="F10" s="580">
        <v>35453</v>
      </c>
      <c r="G10" s="530"/>
      <c r="H10" s="530"/>
      <c r="I10" s="530"/>
      <c r="J10" s="580">
        <v>36950</v>
      </c>
      <c r="K10" s="22"/>
      <c r="L10" s="22"/>
    </row>
    <row r="11" spans="1:12">
      <c r="A11" s="593"/>
      <c r="B11" s="530">
        <v>2019</v>
      </c>
      <c r="C11" s="580">
        <v>27994</v>
      </c>
      <c r="D11" s="580">
        <v>28557</v>
      </c>
      <c r="E11" s="580">
        <v>33927</v>
      </c>
      <c r="F11" s="530"/>
      <c r="G11" s="530"/>
      <c r="H11" s="530"/>
      <c r="I11" s="530"/>
      <c r="J11" s="580">
        <v>43359</v>
      </c>
      <c r="K11" s="22"/>
      <c r="L11" s="22"/>
    </row>
    <row r="12" spans="1:12">
      <c r="A12" s="22"/>
      <c r="B12" s="530">
        <v>2020</v>
      </c>
      <c r="C12" s="580">
        <v>28178</v>
      </c>
      <c r="D12" s="580">
        <v>31041</v>
      </c>
      <c r="E12" s="530"/>
      <c r="F12" s="530"/>
      <c r="G12" s="530"/>
      <c r="H12" s="530"/>
      <c r="I12" s="530"/>
      <c r="J12" s="580">
        <v>43793</v>
      </c>
      <c r="K12" s="22"/>
      <c r="L12" s="22"/>
    </row>
    <row r="13" spans="1:12">
      <c r="A13" s="22"/>
      <c r="B13" s="530">
        <v>2021</v>
      </c>
      <c r="C13" s="580">
        <v>34227</v>
      </c>
      <c r="D13" s="530"/>
      <c r="E13" s="530"/>
      <c r="F13" s="530"/>
      <c r="G13" s="530"/>
      <c r="H13" s="530"/>
      <c r="I13" s="530"/>
      <c r="J13" s="580">
        <v>47706</v>
      </c>
      <c r="K13" s="22"/>
      <c r="L13" s="22"/>
    </row>
    <row r="14" spans="1:12">
      <c r="A14" s="22"/>
      <c r="B14" s="22"/>
      <c r="C14" s="22"/>
      <c r="D14" s="22"/>
      <c r="E14" s="22"/>
      <c r="F14" s="22"/>
      <c r="G14" s="22"/>
      <c r="H14" s="22"/>
      <c r="I14" s="22"/>
      <c r="J14" s="22"/>
      <c r="K14" s="22"/>
      <c r="L14" s="22"/>
    </row>
    <row r="15" spans="1:12" s="397" customFormat="1">
      <c r="A15" s="292"/>
      <c r="B15" s="903" t="s">
        <v>1068</v>
      </c>
      <c r="C15" s="1842" t="s">
        <v>1078</v>
      </c>
      <c r="D15" s="1842"/>
      <c r="E15" s="1842"/>
      <c r="F15" s="1842"/>
      <c r="G15" s="1842"/>
      <c r="H15" s="1842"/>
      <c r="I15" s="1842"/>
      <c r="J15" s="292"/>
      <c r="K15" s="292"/>
      <c r="L15" s="292"/>
    </row>
    <row r="16" spans="1:12" s="397" customFormat="1">
      <c r="A16" s="292"/>
      <c r="B16" s="902" t="s">
        <v>76</v>
      </c>
      <c r="C16" s="900">
        <v>12</v>
      </c>
      <c r="D16" s="900">
        <v>24</v>
      </c>
      <c r="E16" s="900">
        <v>36</v>
      </c>
      <c r="F16" s="900">
        <v>48</v>
      </c>
      <c r="G16" s="900">
        <v>60</v>
      </c>
      <c r="H16" s="900">
        <v>72</v>
      </c>
      <c r="I16" s="900">
        <v>84</v>
      </c>
      <c r="J16" s="292"/>
      <c r="K16" s="292"/>
      <c r="L16" s="292"/>
    </row>
    <row r="17" spans="1:12" s="397" customFormat="1">
      <c r="A17" s="292"/>
      <c r="B17" s="900">
        <v>2015</v>
      </c>
      <c r="C17" s="899">
        <v>8658</v>
      </c>
      <c r="D17" s="899">
        <v>16875</v>
      </c>
      <c r="E17" s="899">
        <v>22688</v>
      </c>
      <c r="F17" s="899">
        <v>27108</v>
      </c>
      <c r="G17" s="899">
        <v>29707</v>
      </c>
      <c r="H17" s="899">
        <v>31198</v>
      </c>
      <c r="I17" s="899">
        <v>31530</v>
      </c>
      <c r="J17" s="292"/>
      <c r="K17" s="292"/>
      <c r="L17" s="292"/>
    </row>
    <row r="18" spans="1:12" s="397" customFormat="1">
      <c r="A18" s="292"/>
      <c r="B18" s="900">
        <v>2016</v>
      </c>
      <c r="C18" s="899">
        <v>10793</v>
      </c>
      <c r="D18" s="899">
        <v>18254</v>
      </c>
      <c r="E18" s="899">
        <v>24319</v>
      </c>
      <c r="F18" s="899">
        <v>29431</v>
      </c>
      <c r="G18" s="899">
        <v>31170</v>
      </c>
      <c r="H18" s="899">
        <v>32966</v>
      </c>
      <c r="I18" s="900"/>
      <c r="J18" s="292"/>
      <c r="K18" s="292"/>
      <c r="L18" s="292"/>
    </row>
    <row r="19" spans="1:12" s="397" customFormat="1">
      <c r="A19" s="292"/>
      <c r="B19" s="900">
        <v>2017</v>
      </c>
      <c r="C19" s="899">
        <v>9664</v>
      </c>
      <c r="D19" s="899">
        <v>17663</v>
      </c>
      <c r="E19" s="899">
        <v>25519</v>
      </c>
      <c r="F19" s="899">
        <v>30636</v>
      </c>
      <c r="G19" s="899">
        <v>32690</v>
      </c>
      <c r="H19" s="900"/>
      <c r="I19" s="900"/>
      <c r="J19" s="292"/>
      <c r="K19" s="292"/>
      <c r="L19" s="292"/>
    </row>
    <row r="20" spans="1:12" s="397" customFormat="1">
      <c r="A20" s="292"/>
      <c r="B20" s="900">
        <v>2018</v>
      </c>
      <c r="C20" s="899">
        <v>10721</v>
      </c>
      <c r="D20" s="899">
        <v>18976</v>
      </c>
      <c r="E20" s="899">
        <v>25797</v>
      </c>
      <c r="F20" s="899">
        <v>32579</v>
      </c>
      <c r="G20" s="900"/>
      <c r="H20" s="900"/>
      <c r="I20" s="900"/>
      <c r="J20" s="292"/>
      <c r="K20" s="292"/>
      <c r="L20" s="292"/>
    </row>
    <row r="21" spans="1:12" s="397" customFormat="1">
      <c r="A21" s="292"/>
      <c r="B21" s="900">
        <v>2019</v>
      </c>
      <c r="C21" s="899">
        <v>11866</v>
      </c>
      <c r="D21" s="899">
        <v>20748</v>
      </c>
      <c r="E21" s="899">
        <v>26519</v>
      </c>
      <c r="F21" s="900"/>
      <c r="G21" s="900"/>
      <c r="H21" s="900"/>
      <c r="I21" s="900"/>
      <c r="J21" s="292"/>
      <c r="K21" s="292"/>
      <c r="L21" s="292"/>
    </row>
    <row r="22" spans="1:12" s="397" customFormat="1">
      <c r="A22" s="292"/>
      <c r="B22" s="900">
        <v>2020</v>
      </c>
      <c r="C22" s="899">
        <v>13014</v>
      </c>
      <c r="D22" s="899">
        <v>19889</v>
      </c>
      <c r="E22" s="900"/>
      <c r="F22" s="900"/>
      <c r="G22" s="900"/>
      <c r="H22" s="900"/>
      <c r="I22" s="900"/>
      <c r="J22" s="292"/>
      <c r="K22" s="292"/>
      <c r="L22" s="292"/>
    </row>
    <row r="23" spans="1:12" s="397" customFormat="1">
      <c r="A23" s="292"/>
      <c r="B23" s="900">
        <v>2021</v>
      </c>
      <c r="C23" s="899">
        <v>12410</v>
      </c>
      <c r="D23" s="900"/>
      <c r="E23" s="900"/>
      <c r="F23" s="900"/>
      <c r="G23" s="900"/>
      <c r="H23" s="900"/>
      <c r="I23" s="900"/>
      <c r="J23" s="292"/>
      <c r="K23" s="292"/>
      <c r="L23" s="292"/>
    </row>
    <row r="24" spans="1:12" s="397" customFormat="1">
      <c r="A24" s="292"/>
      <c r="B24" s="292"/>
      <c r="C24" s="292"/>
      <c r="D24" s="292"/>
      <c r="E24" s="292"/>
      <c r="F24" s="292"/>
      <c r="G24" s="292"/>
      <c r="H24" s="292"/>
      <c r="I24" s="292"/>
      <c r="J24" s="292"/>
      <c r="K24" s="292"/>
      <c r="L24" s="292"/>
    </row>
    <row r="25" spans="1:12" s="397" customFormat="1" ht="46.8" customHeight="1">
      <c r="A25" s="292"/>
      <c r="B25" s="901" t="s">
        <v>1197</v>
      </c>
      <c r="C25" s="901" t="s">
        <v>699</v>
      </c>
      <c r="D25" s="901" t="s">
        <v>1162</v>
      </c>
      <c r="E25" s="1843" t="s">
        <v>1196</v>
      </c>
      <c r="F25" s="1843"/>
      <c r="G25" s="292"/>
      <c r="H25" s="292"/>
      <c r="I25" s="292"/>
      <c r="J25" s="292"/>
      <c r="K25" s="292"/>
      <c r="L25" s="292"/>
    </row>
    <row r="26" spans="1:12" s="397" customFormat="1">
      <c r="A26" s="292"/>
      <c r="B26" s="900">
        <v>2015</v>
      </c>
      <c r="C26" s="899">
        <v>49736108</v>
      </c>
      <c r="D26" s="898">
        <v>1.0722</v>
      </c>
      <c r="E26" s="1844">
        <v>0.76800000000000002</v>
      </c>
      <c r="F26" s="1844"/>
      <c r="G26" s="292"/>
      <c r="H26" s="292"/>
      <c r="I26" s="292"/>
      <c r="J26" s="292"/>
      <c r="K26" s="292"/>
      <c r="L26" s="292"/>
    </row>
    <row r="27" spans="1:12" s="397" customFormat="1">
      <c r="A27" s="292"/>
      <c r="B27" s="900">
        <v>2016</v>
      </c>
      <c r="C27" s="899">
        <v>52114124</v>
      </c>
      <c r="D27" s="898">
        <v>1.0681</v>
      </c>
      <c r="E27" s="1844">
        <v>0.749</v>
      </c>
      <c r="F27" s="1844"/>
      <c r="G27" s="292"/>
      <c r="H27" s="292"/>
      <c r="I27" s="292"/>
      <c r="J27" s="292"/>
      <c r="K27" s="292"/>
      <c r="L27" s="292"/>
    </row>
    <row r="28" spans="1:12" s="397" customFormat="1">
      <c r="A28" s="292"/>
      <c r="B28" s="900">
        <v>2017</v>
      </c>
      <c r="C28" s="899">
        <v>55021088</v>
      </c>
      <c r="D28" s="898">
        <v>1.042</v>
      </c>
      <c r="E28" s="1844">
        <v>0.73799999999999999</v>
      </c>
      <c r="F28" s="1844"/>
      <c r="G28" s="292"/>
      <c r="H28" s="292"/>
      <c r="I28" s="292"/>
      <c r="J28" s="292"/>
      <c r="K28" s="292"/>
      <c r="L28" s="292"/>
    </row>
    <row r="29" spans="1:12" s="397" customFormat="1">
      <c r="A29" s="292"/>
      <c r="B29" s="900">
        <v>2018</v>
      </c>
      <c r="C29" s="899">
        <v>56278147</v>
      </c>
      <c r="D29" s="898">
        <v>1.0265</v>
      </c>
      <c r="E29" s="1844">
        <v>0.71199999999999997</v>
      </c>
      <c r="F29" s="1844"/>
      <c r="G29" s="292"/>
      <c r="H29" s="292"/>
      <c r="I29" s="292"/>
      <c r="J29" s="292"/>
      <c r="K29" s="292"/>
      <c r="L29" s="292"/>
    </row>
    <row r="30" spans="1:12" s="397" customFormat="1">
      <c r="A30" s="292"/>
      <c r="B30" s="900">
        <v>2019</v>
      </c>
      <c r="C30" s="899">
        <v>58829789</v>
      </c>
      <c r="D30" s="898">
        <v>1.0182</v>
      </c>
      <c r="E30" s="1844">
        <v>0.77700000000000002</v>
      </c>
      <c r="F30" s="1844"/>
      <c r="G30" s="292"/>
      <c r="H30" s="292"/>
      <c r="I30" s="292"/>
      <c r="J30" s="292"/>
      <c r="K30" s="292"/>
      <c r="L30" s="292"/>
    </row>
    <row r="31" spans="1:12" s="397" customFormat="1">
      <c r="A31" s="292"/>
      <c r="B31" s="900">
        <v>2020</v>
      </c>
      <c r="C31" s="899">
        <v>61195354</v>
      </c>
      <c r="D31" s="898">
        <v>1.0092000000000001</v>
      </c>
      <c r="E31" s="1844">
        <v>0.73499999999999999</v>
      </c>
      <c r="F31" s="1844"/>
      <c r="G31" s="292"/>
      <c r="H31" s="292"/>
      <c r="I31" s="292"/>
      <c r="J31" s="292"/>
      <c r="K31" s="292"/>
      <c r="L31" s="292"/>
    </row>
    <row r="32" spans="1:12" s="397" customFormat="1">
      <c r="A32" s="292"/>
      <c r="B32" s="900">
        <v>2021</v>
      </c>
      <c r="C32" s="899">
        <v>60091505</v>
      </c>
      <c r="D32" s="898">
        <v>1</v>
      </c>
      <c r="E32" s="1844">
        <v>0.79400000000000004</v>
      </c>
      <c r="F32" s="1844"/>
      <c r="G32" s="292"/>
      <c r="H32" s="292"/>
      <c r="I32" s="292"/>
      <c r="J32" s="292"/>
      <c r="K32" s="292"/>
      <c r="L32" s="292"/>
    </row>
    <row r="33" spans="1:13" s="397" customFormat="1">
      <c r="A33" s="292"/>
      <c r="B33" s="292"/>
      <c r="C33" s="292"/>
      <c r="D33" s="292"/>
      <c r="E33" s="292"/>
      <c r="F33" s="292"/>
      <c r="G33" s="292"/>
      <c r="H33" s="292"/>
      <c r="I33" s="292"/>
      <c r="J33" s="292"/>
      <c r="K33" s="292"/>
      <c r="L33" s="292"/>
    </row>
    <row r="34" spans="1:13" s="397" customFormat="1">
      <c r="A34" s="292"/>
      <c r="B34" s="897" t="s">
        <v>1195</v>
      </c>
      <c r="C34" s="292"/>
      <c r="D34" s="292"/>
      <c r="E34" s="896">
        <v>0.05</v>
      </c>
      <c r="F34" s="292"/>
      <c r="G34" s="292"/>
      <c r="H34" s="292"/>
      <c r="I34" s="292"/>
      <c r="J34" s="292"/>
      <c r="K34" s="292"/>
      <c r="L34" s="292"/>
    </row>
    <row r="35" spans="1:13" s="397" customFormat="1">
      <c r="A35" s="292"/>
      <c r="B35" s="292" t="s">
        <v>1194</v>
      </c>
      <c r="C35" s="292"/>
      <c r="D35" s="292"/>
      <c r="E35" s="895">
        <v>-1.2999999999999999E-2</v>
      </c>
      <c r="F35" s="292"/>
      <c r="G35" s="292"/>
      <c r="H35" s="292"/>
      <c r="I35" s="292"/>
      <c r="J35" s="292"/>
      <c r="K35" s="292"/>
      <c r="L35" s="292"/>
    </row>
    <row r="36" spans="1:13" s="397" customFormat="1">
      <c r="A36" s="292"/>
      <c r="B36" s="292"/>
      <c r="C36" s="292"/>
      <c r="D36" s="292"/>
      <c r="E36" s="292"/>
      <c r="F36" s="292"/>
      <c r="G36" s="292"/>
      <c r="H36" s="292"/>
      <c r="I36" s="292"/>
      <c r="J36" s="292"/>
      <c r="K36" s="292"/>
      <c r="L36" s="292"/>
    </row>
    <row r="37" spans="1:13" s="397" customFormat="1">
      <c r="A37" s="292"/>
      <c r="B37" s="292"/>
      <c r="C37" s="292"/>
      <c r="D37" s="292"/>
      <c r="E37" s="292"/>
      <c r="F37" s="292"/>
      <c r="G37" s="292"/>
      <c r="H37" s="292"/>
      <c r="I37" s="292"/>
      <c r="J37" s="292"/>
      <c r="K37" s="292"/>
      <c r="L37" s="292"/>
    </row>
    <row r="38" spans="1:13" s="397" customFormat="1">
      <c r="A38" s="837" t="s">
        <v>80</v>
      </c>
      <c r="B38" s="292" t="s">
        <v>1193</v>
      </c>
      <c r="C38" s="292"/>
      <c r="D38" s="292"/>
      <c r="E38" s="292"/>
      <c r="F38" s="292"/>
      <c r="G38" s="292"/>
      <c r="H38" s="292"/>
      <c r="I38" s="292"/>
      <c r="J38" s="292"/>
      <c r="K38" s="292"/>
      <c r="L38" s="292"/>
    </row>
    <row r="39" spans="1:13">
      <c r="A39" s="2"/>
      <c r="B39" s="836" t="s">
        <v>1113</v>
      </c>
      <c r="C39" s="138"/>
      <c r="D39" s="138"/>
      <c r="E39" s="138"/>
      <c r="F39" s="2"/>
      <c r="G39" s="22"/>
      <c r="H39" s="22"/>
      <c r="I39" s="22"/>
      <c r="J39" s="22"/>
      <c r="K39" s="22"/>
      <c r="L39" s="22"/>
    </row>
    <row r="40" spans="1:13">
      <c r="A40" s="884"/>
      <c r="B40" s="884"/>
      <c r="C40" s="884"/>
      <c r="D40" s="884"/>
      <c r="E40" s="884"/>
      <c r="F40" s="884"/>
      <c r="G40" s="884"/>
      <c r="H40" s="884"/>
      <c r="I40" s="884"/>
      <c r="J40" s="884"/>
      <c r="K40" s="37"/>
      <c r="L40" s="37"/>
      <c r="M40" s="37"/>
    </row>
    <row r="41" spans="1:13" s="217" customFormat="1">
      <c r="A41" s="217" t="s">
        <v>650</v>
      </c>
    </row>
    <row r="42" spans="1:13" s="217" customFormat="1">
      <c r="B42" s="881"/>
      <c r="C42" s="894" t="s">
        <v>1192</v>
      </c>
      <c r="D42" s="893"/>
      <c r="E42" s="893"/>
      <c r="F42" s="893"/>
      <c r="G42" s="893"/>
      <c r="H42" s="893"/>
    </row>
    <row r="43" spans="1:13" s="217" customFormat="1">
      <c r="B43" s="888" t="s">
        <v>47</v>
      </c>
      <c r="C43" s="888" t="str">
        <f t="shared" ref="C43:H43" si="0">C16&amp;"-"&amp;D16</f>
        <v>12-24</v>
      </c>
      <c r="D43" s="888" t="str">
        <f t="shared" si="0"/>
        <v>24-36</v>
      </c>
      <c r="E43" s="888" t="str">
        <f t="shared" si="0"/>
        <v>36-48</v>
      </c>
      <c r="F43" s="888" t="str">
        <f t="shared" si="0"/>
        <v>48-60</v>
      </c>
      <c r="G43" s="888" t="str">
        <f t="shared" si="0"/>
        <v>60-72</v>
      </c>
      <c r="H43" s="888" t="str">
        <f t="shared" si="0"/>
        <v>72-84</v>
      </c>
    </row>
    <row r="44" spans="1:13" s="217" customFormat="1">
      <c r="B44" s="881">
        <f t="shared" ref="B44:B49" si="1">B17</f>
        <v>2015</v>
      </c>
      <c r="C44" s="892">
        <f t="shared" ref="C44:H44" si="2">D17/C17</f>
        <v>1.9490644490644491</v>
      </c>
      <c r="D44" s="892">
        <f t="shared" si="2"/>
        <v>1.3444740740740742</v>
      </c>
      <c r="E44" s="892">
        <f t="shared" si="2"/>
        <v>1.1948166431593794</v>
      </c>
      <c r="F44" s="892">
        <f t="shared" si="2"/>
        <v>1.095875756234322</v>
      </c>
      <c r="G44" s="892">
        <f t="shared" si="2"/>
        <v>1.050190190864106</v>
      </c>
      <c r="H44" s="892">
        <f t="shared" si="2"/>
        <v>1.0106417078017822</v>
      </c>
    </row>
    <row r="45" spans="1:13" s="217" customFormat="1">
      <c r="B45" s="881">
        <f t="shared" si="1"/>
        <v>2016</v>
      </c>
      <c r="C45" s="892">
        <f>D18/C18</f>
        <v>1.6912813860835727</v>
      </c>
      <c r="D45" s="892">
        <f>E18/D18</f>
        <v>1.3322559439027062</v>
      </c>
      <c r="E45" s="892">
        <f>F18/E18</f>
        <v>1.2102060117603519</v>
      </c>
      <c r="F45" s="892">
        <f>G18/F18</f>
        <v>1.0590873568686079</v>
      </c>
      <c r="G45" s="892">
        <f>H18/G18</f>
        <v>1.057619505935194</v>
      </c>
      <c r="H45" s="892"/>
    </row>
    <row r="46" spans="1:13" s="217" customFormat="1">
      <c r="B46" s="881">
        <f t="shared" si="1"/>
        <v>2017</v>
      </c>
      <c r="C46" s="892">
        <f>D19/C19</f>
        <v>1.8277110927152318</v>
      </c>
      <c r="D46" s="892">
        <f>E19/D19</f>
        <v>1.4447715563607542</v>
      </c>
      <c r="E46" s="892">
        <f>F19/E19</f>
        <v>1.2005172616481836</v>
      </c>
      <c r="F46" s="892">
        <f>G19/F19</f>
        <v>1.067045306175741</v>
      </c>
      <c r="G46" s="892"/>
      <c r="H46" s="892"/>
    </row>
    <row r="47" spans="1:13" s="217" customFormat="1">
      <c r="B47" s="881">
        <f t="shared" si="1"/>
        <v>2018</v>
      </c>
      <c r="C47" s="892">
        <f>D20/C20</f>
        <v>1.7699841432702172</v>
      </c>
      <c r="D47" s="892">
        <f>E20/D20</f>
        <v>1.359454047217538</v>
      </c>
      <c r="E47" s="892">
        <f>F20/E20</f>
        <v>1.2628987866806218</v>
      </c>
      <c r="F47" s="892"/>
      <c r="G47" s="892"/>
      <c r="H47" s="892"/>
    </row>
    <row r="48" spans="1:13" s="217" customFormat="1">
      <c r="B48" s="881">
        <f t="shared" si="1"/>
        <v>2019</v>
      </c>
      <c r="C48" s="892">
        <f>D21/C21</f>
        <v>1.748525198044834</v>
      </c>
      <c r="D48" s="892">
        <f>E21/D21</f>
        <v>1.2781472913051861</v>
      </c>
      <c r="E48" s="892"/>
      <c r="F48" s="892"/>
      <c r="G48" s="892"/>
      <c r="H48" s="892"/>
    </row>
    <row r="49" spans="2:9" s="217" customFormat="1">
      <c r="B49" s="888">
        <f t="shared" si="1"/>
        <v>2020</v>
      </c>
      <c r="C49" s="891">
        <f>D22/C22</f>
        <v>1.5282772398954971</v>
      </c>
      <c r="D49" s="891"/>
      <c r="E49" s="891"/>
      <c r="F49" s="891"/>
      <c r="G49" s="891"/>
      <c r="H49" s="891"/>
    </row>
    <row r="50" spans="2:9" s="217" customFormat="1">
      <c r="B50" s="892" t="s">
        <v>1191</v>
      </c>
      <c r="C50" s="892">
        <f>AVERAGE(C44:C49)</f>
        <v>1.7524739181789668</v>
      </c>
      <c r="D50" s="892">
        <f>AVERAGE(D44:D49)</f>
        <v>1.3518205825720515</v>
      </c>
      <c r="E50" s="892">
        <f>AVERAGE(E44:E49)</f>
        <v>1.2171096758121343</v>
      </c>
      <c r="F50" s="892">
        <f>IF(0=COUNT(F44:F49),1,AVERAGE(F44:F49))</f>
        <v>1.0740028064262237</v>
      </c>
      <c r="G50" s="892">
        <f>IF(0=COUNT(G44:G49),1,AVERAGE(G44:G49))</f>
        <v>1.05390484839965</v>
      </c>
      <c r="H50" s="892">
        <f>IF(0=COUNT(H44:H49),1,AVERAGE(H44:H49))</f>
        <v>1.0106417078017822</v>
      </c>
    </row>
    <row r="51" spans="2:9" s="217" customFormat="1">
      <c r="B51" s="892" t="s">
        <v>1190</v>
      </c>
      <c r="C51" s="892">
        <f>SUM(D18:D22)/SUM(C18:C22)</f>
        <v>1.7041278675657354</v>
      </c>
      <c r="D51" s="892">
        <f>SUM(E17:E21)/SUM(D17:D21)</f>
        <v>1.3494098318128755</v>
      </c>
      <c r="E51" s="892"/>
      <c r="G51" s="892"/>
      <c r="H51" s="892"/>
    </row>
    <row r="52" spans="2:9" s="217" customFormat="1">
      <c r="B52" s="892" t="s">
        <v>1189</v>
      </c>
      <c r="C52" s="892">
        <f>SUM(D17:D22)/SUM(C17:C22)</f>
        <v>1.7368965943507015</v>
      </c>
      <c r="D52" s="892"/>
      <c r="F52" s="892"/>
      <c r="G52" s="892"/>
      <c r="H52" s="892"/>
    </row>
    <row r="53" spans="2:9" s="217" customFormat="1">
      <c r="B53" s="891" t="s">
        <v>1188</v>
      </c>
      <c r="C53" s="891">
        <f>AVERAGE(C44:C47)</f>
        <v>1.8095102677833677</v>
      </c>
      <c r="D53" s="891">
        <f>AVERAGE(D46:D48)</f>
        <v>1.3607909649611594</v>
      </c>
      <c r="E53" s="891">
        <f>AVERAGE(E44,E46)</f>
        <v>1.1976669524037815</v>
      </c>
      <c r="F53" s="891"/>
      <c r="G53" s="891"/>
      <c r="H53" s="891"/>
      <c r="I53" s="888" t="s">
        <v>1187</v>
      </c>
    </row>
    <row r="54" spans="2:9" s="217" customFormat="1">
      <c r="B54" s="881" t="s">
        <v>1186</v>
      </c>
      <c r="C54" s="890">
        <f>C53</f>
        <v>1.8095102677833677</v>
      </c>
      <c r="D54" s="890">
        <f>D53</f>
        <v>1.3607909649611594</v>
      </c>
      <c r="E54" s="890">
        <f>E50</f>
        <v>1.2171096758121343</v>
      </c>
      <c r="F54" s="890">
        <f>F50</f>
        <v>1.0740028064262237</v>
      </c>
      <c r="G54" s="890">
        <f>G50</f>
        <v>1.05390484839965</v>
      </c>
      <c r="H54" s="890">
        <f>H50</f>
        <v>1.0106417078017822</v>
      </c>
      <c r="I54" s="890">
        <f>H54</f>
        <v>1.0106417078017822</v>
      </c>
    </row>
    <row r="55" spans="2:9" s="217" customFormat="1"/>
    <row r="56" spans="2:9" s="217" customFormat="1">
      <c r="B56" s="217" t="s">
        <v>1185</v>
      </c>
      <c r="D56" s="217" t="s">
        <v>1184</v>
      </c>
    </row>
    <row r="57" spans="2:9" s="217" customFormat="1">
      <c r="D57" s="217" t="s">
        <v>1183</v>
      </c>
    </row>
    <row r="58" spans="2:9" s="217" customFormat="1">
      <c r="D58" s="217" t="s">
        <v>1182</v>
      </c>
    </row>
    <row r="59" spans="2:9" s="217" customFormat="1"/>
    <row r="60" spans="2:9" s="217" customFormat="1">
      <c r="D60" s="1846" t="s">
        <v>1181</v>
      </c>
      <c r="E60" s="1846"/>
      <c r="F60" s="881" t="s">
        <v>115</v>
      </c>
    </row>
    <row r="61" spans="2:9" s="217" customFormat="1">
      <c r="B61" s="882" t="s">
        <v>47</v>
      </c>
      <c r="C61" s="888" t="s">
        <v>1171</v>
      </c>
      <c r="D61" s="888" t="s">
        <v>1180</v>
      </c>
      <c r="E61" s="888" t="s">
        <v>1179</v>
      </c>
      <c r="F61" s="888" t="s">
        <v>1142</v>
      </c>
    </row>
    <row r="62" spans="2:9" s="217" customFormat="1">
      <c r="B62" s="881">
        <f t="shared" ref="B62:B68" si="3">B7</f>
        <v>2015</v>
      </c>
      <c r="C62" s="879">
        <f>I17</f>
        <v>31530</v>
      </c>
      <c r="D62" s="890">
        <f>I54</f>
        <v>1.0106417078017822</v>
      </c>
      <c r="E62" s="889">
        <f>D62</f>
        <v>1.0106417078017822</v>
      </c>
      <c r="F62" s="879">
        <f t="shared" ref="F62:F68" si="4">E62*C62</f>
        <v>31865.533046990193</v>
      </c>
    </row>
    <row r="63" spans="2:9" s="217" customFormat="1">
      <c r="B63" s="881">
        <f t="shared" si="3"/>
        <v>2016</v>
      </c>
      <c r="C63" s="879">
        <f>H18</f>
        <v>32966</v>
      </c>
      <c r="D63" s="890">
        <f>H54</f>
        <v>1.0106417078017822</v>
      </c>
      <c r="E63" s="889">
        <f t="shared" ref="E63:E68" si="5">E62*D63</f>
        <v>1.0213966615485028</v>
      </c>
      <c r="F63" s="879">
        <f t="shared" si="4"/>
        <v>33671.362344607944</v>
      </c>
    </row>
    <row r="64" spans="2:9" s="217" customFormat="1">
      <c r="B64" s="881">
        <f t="shared" si="3"/>
        <v>2017</v>
      </c>
      <c r="C64" s="879">
        <f>G19</f>
        <v>32690</v>
      </c>
      <c r="D64" s="890">
        <f>G54</f>
        <v>1.05390484839965</v>
      </c>
      <c r="E64" s="889">
        <f t="shared" si="5"/>
        <v>1.0764548937451834</v>
      </c>
      <c r="F64" s="879">
        <f t="shared" si="4"/>
        <v>35189.310476530045</v>
      </c>
    </row>
    <row r="65" spans="1:12" s="217" customFormat="1">
      <c r="B65" s="881">
        <f t="shared" si="3"/>
        <v>2018</v>
      </c>
      <c r="C65" s="879">
        <f>F20</f>
        <v>32579</v>
      </c>
      <c r="D65" s="890">
        <f>F54</f>
        <v>1.0740028064262237</v>
      </c>
      <c r="E65" s="889">
        <f t="shared" si="5"/>
        <v>1.1561155768735694</v>
      </c>
      <c r="F65" s="879">
        <f t="shared" si="4"/>
        <v>37665.089378964018</v>
      </c>
    </row>
    <row r="66" spans="1:12" s="217" customFormat="1">
      <c r="B66" s="881">
        <f t="shared" si="3"/>
        <v>2019</v>
      </c>
      <c r="C66" s="879">
        <f>E21</f>
        <v>26519</v>
      </c>
      <c r="D66" s="890">
        <f>E54</f>
        <v>1.2171096758121343</v>
      </c>
      <c r="E66" s="889">
        <f t="shared" si="5"/>
        <v>1.4071194549699486</v>
      </c>
      <c r="F66" s="879">
        <f t="shared" si="4"/>
        <v>37315.400826348065</v>
      </c>
    </row>
    <row r="67" spans="1:12" s="217" customFormat="1">
      <c r="B67" s="881">
        <f t="shared" si="3"/>
        <v>2020</v>
      </c>
      <c r="C67" s="879">
        <f>D22</f>
        <v>19889</v>
      </c>
      <c r="D67" s="890">
        <f>D54</f>
        <v>1.3607909649611594</v>
      </c>
      <c r="E67" s="889">
        <f t="shared" si="5"/>
        <v>1.914795440944177</v>
      </c>
      <c r="F67" s="879">
        <f t="shared" si="4"/>
        <v>38083.366524938734</v>
      </c>
    </row>
    <row r="68" spans="1:12" s="217" customFormat="1">
      <c r="B68" s="888">
        <f t="shared" si="3"/>
        <v>2021</v>
      </c>
      <c r="C68" s="885">
        <f>C23</f>
        <v>12410</v>
      </c>
      <c r="D68" s="887">
        <f>C54</f>
        <v>1.8095102677833677</v>
      </c>
      <c r="E68" s="886">
        <f t="shared" si="5"/>
        <v>3.4648420110932694</v>
      </c>
      <c r="F68" s="885">
        <f t="shared" si="4"/>
        <v>42998.68935766747</v>
      </c>
    </row>
    <row r="69" spans="1:12" s="217" customFormat="1">
      <c r="B69" s="881" t="s">
        <v>98</v>
      </c>
      <c r="C69" s="879">
        <f>SUM(C62:C68)</f>
        <v>188583</v>
      </c>
      <c r="F69" s="879">
        <f>SUM(F62:F68)</f>
        <v>256788.75195604644</v>
      </c>
    </row>
    <row r="70" spans="1:12">
      <c r="A70" s="884"/>
      <c r="B70" s="884"/>
      <c r="C70" s="884"/>
      <c r="D70" s="884"/>
      <c r="E70" s="884"/>
      <c r="F70" s="884"/>
      <c r="G70" s="884"/>
      <c r="H70" s="884"/>
      <c r="I70" s="884"/>
      <c r="J70" s="884"/>
    </row>
    <row r="71" spans="1:12">
      <c r="A71" s="837" t="s">
        <v>9</v>
      </c>
      <c r="B71" s="292" t="s">
        <v>1178</v>
      </c>
      <c r="C71" s="22"/>
      <c r="D71" s="22"/>
      <c r="E71" s="22"/>
      <c r="F71" s="22"/>
      <c r="G71" s="22"/>
      <c r="H71" s="22"/>
      <c r="I71" s="22"/>
      <c r="J71" s="22"/>
      <c r="K71" s="22"/>
      <c r="L71" s="22"/>
    </row>
    <row r="72" spans="1:12">
      <c r="A72" s="2"/>
      <c r="B72" s="836" t="s">
        <v>1113</v>
      </c>
      <c r="C72" s="138"/>
      <c r="D72" s="138"/>
      <c r="E72" s="138"/>
      <c r="F72" s="2"/>
      <c r="G72" s="22"/>
      <c r="H72" s="22"/>
      <c r="I72" s="22"/>
      <c r="J72" s="22"/>
      <c r="K72" s="22"/>
      <c r="L72" s="22"/>
    </row>
    <row r="73" spans="1:12">
      <c r="A73" s="884"/>
      <c r="B73" s="884"/>
      <c r="C73" s="884"/>
      <c r="D73" s="884"/>
      <c r="E73" s="884"/>
      <c r="F73" s="884"/>
      <c r="G73" s="884"/>
      <c r="H73" s="37"/>
      <c r="I73" s="37"/>
      <c r="J73" s="37"/>
      <c r="K73" s="37"/>
      <c r="L73" s="37"/>
    </row>
    <row r="74" spans="1:12" s="217" customFormat="1">
      <c r="A74" s="217" t="s">
        <v>650</v>
      </c>
    </row>
    <row r="75" spans="1:12" s="217" customFormat="1"/>
    <row r="76" spans="1:12" s="217" customFormat="1">
      <c r="B76" s="217" t="s">
        <v>1177</v>
      </c>
      <c r="D76" s="883">
        <f>(1+E34)*(1+E35)-1</f>
        <v>3.6350000000000104E-2</v>
      </c>
    </row>
    <row r="77" spans="1:12" s="217" customFormat="1"/>
    <row r="78" spans="1:12" s="217" customFormat="1" ht="46.8">
      <c r="B78" s="882" t="s">
        <v>47</v>
      </c>
      <c r="C78" s="882" t="s">
        <v>699</v>
      </c>
      <c r="D78" s="882" t="s">
        <v>1162</v>
      </c>
      <c r="E78" s="882" t="s">
        <v>1161</v>
      </c>
      <c r="F78" s="882" t="s">
        <v>1176</v>
      </c>
      <c r="G78" s="882" t="s">
        <v>1175</v>
      </c>
    </row>
    <row r="79" spans="1:12" s="217" customFormat="1">
      <c r="B79" s="881">
        <v>2015</v>
      </c>
      <c r="C79" s="879">
        <f t="shared" ref="C79:D85" si="6">C26</f>
        <v>49736108</v>
      </c>
      <c r="D79" s="880">
        <f t="shared" si="6"/>
        <v>1.0722</v>
      </c>
      <c r="E79" s="880">
        <f t="shared" ref="E79:E84" si="7">E80*(1+$D$76)</f>
        <v>1.2389070104409194</v>
      </c>
      <c r="F79" s="879">
        <f t="shared" ref="F79:F85" si="8">F62</f>
        <v>31865.533046990193</v>
      </c>
      <c r="G79" s="878">
        <f t="shared" ref="G79:G85" si="9">1000*F79*E79/(C79*D79)</f>
        <v>0.74030775344953281</v>
      </c>
    </row>
    <row r="80" spans="1:12" s="217" customFormat="1">
      <c r="B80" s="881">
        <f t="shared" ref="B80:B85" si="10">B79+1</f>
        <v>2016</v>
      </c>
      <c r="C80" s="879">
        <f t="shared" si="6"/>
        <v>52114124</v>
      </c>
      <c r="D80" s="880">
        <f t="shared" si="6"/>
        <v>1.0681</v>
      </c>
      <c r="E80" s="880">
        <f t="shared" si="7"/>
        <v>1.1954523186577115</v>
      </c>
      <c r="F80" s="879">
        <f t="shared" si="8"/>
        <v>33671.362344607944</v>
      </c>
      <c r="G80" s="878">
        <f t="shared" si="9"/>
        <v>0.72314533671908821</v>
      </c>
    </row>
    <row r="81" spans="1:12" s="217" customFormat="1">
      <c r="B81" s="881">
        <f t="shared" si="10"/>
        <v>2017</v>
      </c>
      <c r="C81" s="879">
        <f t="shared" si="6"/>
        <v>55021088</v>
      </c>
      <c r="D81" s="880">
        <f t="shared" si="6"/>
        <v>1.042</v>
      </c>
      <c r="E81" s="880">
        <f t="shared" si="7"/>
        <v>1.1535218011846493</v>
      </c>
      <c r="F81" s="879">
        <f t="shared" si="8"/>
        <v>35189.310476530045</v>
      </c>
      <c r="G81" s="878">
        <f t="shared" si="9"/>
        <v>0.70801045536244689</v>
      </c>
    </row>
    <row r="82" spans="1:12" s="217" customFormat="1">
      <c r="B82" s="881">
        <f t="shared" si="10"/>
        <v>2018</v>
      </c>
      <c r="C82" s="879">
        <f t="shared" si="6"/>
        <v>56278147</v>
      </c>
      <c r="D82" s="880">
        <f t="shared" si="6"/>
        <v>1.0265</v>
      </c>
      <c r="E82" s="880">
        <f t="shared" si="7"/>
        <v>1.1130619975728753</v>
      </c>
      <c r="F82" s="879">
        <f t="shared" si="8"/>
        <v>37665.089378964018</v>
      </c>
      <c r="G82" s="878">
        <f t="shared" si="9"/>
        <v>0.72570416285534289</v>
      </c>
    </row>
    <row r="83" spans="1:12" s="217" customFormat="1">
      <c r="B83" s="881">
        <f t="shared" si="10"/>
        <v>2019</v>
      </c>
      <c r="C83" s="879">
        <f t="shared" si="6"/>
        <v>58829789</v>
      </c>
      <c r="D83" s="880">
        <f t="shared" si="6"/>
        <v>1.0182</v>
      </c>
      <c r="E83" s="880">
        <f t="shared" si="7"/>
        <v>1.0740213225000002</v>
      </c>
      <c r="F83" s="879">
        <f t="shared" si="8"/>
        <v>37315.400826348065</v>
      </c>
      <c r="G83" s="878">
        <f t="shared" si="9"/>
        <v>0.66906857304750289</v>
      </c>
    </row>
    <row r="84" spans="1:12" s="217" customFormat="1">
      <c r="B84" s="881">
        <f t="shared" si="10"/>
        <v>2020</v>
      </c>
      <c r="C84" s="879">
        <f t="shared" si="6"/>
        <v>61195354</v>
      </c>
      <c r="D84" s="880">
        <f t="shared" si="6"/>
        <v>1.0092000000000001</v>
      </c>
      <c r="E84" s="880">
        <f t="shared" si="7"/>
        <v>1.0363500000000001</v>
      </c>
      <c r="F84" s="879">
        <f t="shared" si="8"/>
        <v>38083.366524938734</v>
      </c>
      <c r="G84" s="878">
        <f t="shared" si="9"/>
        <v>0.63906655690997916</v>
      </c>
    </row>
    <row r="85" spans="1:12" s="217" customFormat="1">
      <c r="B85" s="881">
        <f t="shared" si="10"/>
        <v>2021</v>
      </c>
      <c r="C85" s="879">
        <f t="shared" si="6"/>
        <v>60091505</v>
      </c>
      <c r="D85" s="880">
        <f t="shared" si="6"/>
        <v>1</v>
      </c>
      <c r="E85" s="880">
        <v>1</v>
      </c>
      <c r="F85" s="879">
        <f t="shared" si="8"/>
        <v>42998.68935766747</v>
      </c>
      <c r="G85" s="878">
        <f t="shared" si="9"/>
        <v>0.71555354384396708</v>
      </c>
    </row>
    <row r="87" spans="1:12">
      <c r="A87" s="22"/>
      <c r="B87" s="22"/>
      <c r="C87" s="22"/>
      <c r="D87" s="22"/>
      <c r="E87" s="22"/>
      <c r="F87" s="22"/>
      <c r="G87" s="22"/>
      <c r="H87" s="22"/>
      <c r="I87" s="22"/>
      <c r="J87" s="22"/>
      <c r="K87" s="22"/>
      <c r="L87" s="22"/>
    </row>
    <row r="88" spans="1:12">
      <c r="A88" s="292" t="s">
        <v>1174</v>
      </c>
      <c r="B88" s="22"/>
      <c r="C88" s="22"/>
      <c r="D88" s="22"/>
      <c r="E88" s="22"/>
      <c r="F88" s="22"/>
      <c r="G88" s="22"/>
      <c r="H88" s="22"/>
      <c r="I88" s="22"/>
      <c r="J88" s="22"/>
      <c r="K88" s="22"/>
      <c r="L88" s="22"/>
    </row>
    <row r="89" spans="1:12">
      <c r="A89" s="22"/>
      <c r="B89" s="22"/>
      <c r="C89" s="22"/>
      <c r="D89" s="22"/>
      <c r="E89" s="22"/>
      <c r="F89" s="22"/>
      <c r="G89" s="22"/>
      <c r="H89" s="22"/>
      <c r="I89" s="22"/>
      <c r="J89" s="22"/>
      <c r="K89" s="22"/>
      <c r="L89" s="22"/>
    </row>
    <row r="90" spans="1:12">
      <c r="A90" s="2"/>
      <c r="B90" s="2"/>
      <c r="C90" s="2"/>
      <c r="D90" s="2"/>
      <c r="E90" s="2"/>
      <c r="F90" s="2"/>
      <c r="G90" s="2"/>
      <c r="H90" s="2"/>
      <c r="I90" s="2"/>
      <c r="J90" s="2"/>
      <c r="K90" s="2"/>
      <c r="L90" s="2"/>
    </row>
    <row r="91" spans="1:12" s="397" customFormat="1">
      <c r="A91" s="837" t="s">
        <v>7</v>
      </c>
      <c r="B91" s="292" t="s">
        <v>1173</v>
      </c>
      <c r="C91" s="292"/>
      <c r="D91" s="292"/>
      <c r="E91" s="292"/>
      <c r="F91" s="292"/>
      <c r="G91" s="292"/>
      <c r="H91" s="292"/>
      <c r="I91" s="292"/>
      <c r="J91" s="292"/>
      <c r="K91" s="292"/>
      <c r="L91" s="292"/>
    </row>
    <row r="92" spans="1:12">
      <c r="A92" s="2"/>
      <c r="B92" s="836" t="s">
        <v>1113</v>
      </c>
      <c r="C92" s="138"/>
      <c r="D92" s="138"/>
      <c r="E92" s="138"/>
      <c r="F92" s="2"/>
      <c r="G92" s="22"/>
      <c r="H92" s="22"/>
      <c r="I92" s="22"/>
      <c r="J92" s="22"/>
      <c r="K92" s="22"/>
      <c r="L92" s="22"/>
    </row>
    <row r="93" spans="1:12">
      <c r="A93" s="37"/>
      <c r="B93" s="37"/>
      <c r="F93" s="37"/>
      <c r="G93" s="37"/>
      <c r="H93" s="37"/>
      <c r="I93" s="37"/>
      <c r="J93" s="37"/>
      <c r="K93" s="37"/>
      <c r="L93" s="37"/>
    </row>
    <row r="94" spans="1:12" s="217" customFormat="1">
      <c r="A94" s="861" t="s">
        <v>650</v>
      </c>
      <c r="B94" s="861"/>
      <c r="C94" s="861"/>
      <c r="D94" s="861"/>
      <c r="E94" s="861"/>
      <c r="F94" s="861"/>
      <c r="G94" s="861"/>
      <c r="H94" s="861"/>
      <c r="I94" s="861"/>
    </row>
    <row r="95" spans="1:12" s="217" customFormat="1">
      <c r="A95" s="861"/>
      <c r="B95" s="861"/>
      <c r="C95" s="861"/>
      <c r="D95" s="861" t="s">
        <v>1172</v>
      </c>
      <c r="E95" s="861"/>
      <c r="F95" s="861"/>
      <c r="G95" s="861"/>
      <c r="H95" s="861"/>
      <c r="I95" s="861"/>
    </row>
    <row r="96" spans="1:12" s="217" customFormat="1">
      <c r="A96" s="861"/>
      <c r="B96" s="861"/>
      <c r="C96" s="872" t="s">
        <v>47</v>
      </c>
      <c r="D96" s="872" t="s">
        <v>1171</v>
      </c>
      <c r="E96" s="872" t="s">
        <v>1170</v>
      </c>
      <c r="F96" s="861"/>
      <c r="G96" s="861"/>
      <c r="H96" s="861"/>
      <c r="I96" s="861"/>
    </row>
    <row r="97" spans="1:12" s="217" customFormat="1">
      <c r="A97" s="861"/>
      <c r="B97" s="861"/>
      <c r="C97" s="867">
        <v>2015</v>
      </c>
      <c r="D97" s="875">
        <f t="shared" ref="D97:D103" si="11">G79</f>
        <v>0.74030775344953281</v>
      </c>
      <c r="E97" s="875">
        <f t="shared" ref="E97:E103" si="12">E26</f>
        <v>0.76800000000000002</v>
      </c>
      <c r="F97" s="861"/>
      <c r="G97" s="861"/>
      <c r="H97" s="861"/>
      <c r="I97" s="861"/>
    </row>
    <row r="98" spans="1:12" s="217" customFormat="1">
      <c r="A98" s="861"/>
      <c r="B98" s="861"/>
      <c r="C98" s="867">
        <f t="shared" ref="C98:C103" si="13">C97+1</f>
        <v>2016</v>
      </c>
      <c r="D98" s="875">
        <f t="shared" si="11"/>
        <v>0.72314533671908821</v>
      </c>
      <c r="E98" s="875">
        <f t="shared" si="12"/>
        <v>0.749</v>
      </c>
      <c r="F98" s="861"/>
      <c r="G98" s="861"/>
      <c r="H98" s="861"/>
      <c r="I98" s="861"/>
    </row>
    <row r="99" spans="1:12" s="217" customFormat="1">
      <c r="A99" s="861"/>
      <c r="B99" s="861"/>
      <c r="C99" s="867">
        <f t="shared" si="13"/>
        <v>2017</v>
      </c>
      <c r="D99" s="875">
        <f t="shared" si="11"/>
        <v>0.70801045536244689</v>
      </c>
      <c r="E99" s="875">
        <f t="shared" si="12"/>
        <v>0.73799999999999999</v>
      </c>
      <c r="F99" s="861"/>
      <c r="G99" s="861"/>
      <c r="H99" s="861"/>
      <c r="I99" s="861"/>
    </row>
    <row r="100" spans="1:12" s="217" customFormat="1">
      <c r="A100" s="861"/>
      <c r="B100" s="861"/>
      <c r="C100" s="867">
        <f t="shared" si="13"/>
        <v>2018</v>
      </c>
      <c r="D100" s="875">
        <f t="shared" si="11"/>
        <v>0.72570416285534289</v>
      </c>
      <c r="E100" s="875">
        <f t="shared" si="12"/>
        <v>0.71199999999999997</v>
      </c>
      <c r="F100" s="861"/>
      <c r="G100" s="861"/>
      <c r="H100" s="861"/>
      <c r="I100" s="861"/>
    </row>
    <row r="101" spans="1:12" s="217" customFormat="1">
      <c r="A101" s="861"/>
      <c r="B101" s="861"/>
      <c r="C101" s="867">
        <f t="shared" si="13"/>
        <v>2019</v>
      </c>
      <c r="D101" s="875">
        <f t="shared" si="11"/>
        <v>0.66906857304750289</v>
      </c>
      <c r="E101" s="875">
        <f t="shared" si="12"/>
        <v>0.77700000000000002</v>
      </c>
      <c r="F101" s="861"/>
      <c r="G101" s="861"/>
      <c r="H101" s="861"/>
      <c r="I101" s="861"/>
    </row>
    <row r="102" spans="1:12" s="217" customFormat="1">
      <c r="A102" s="861"/>
      <c r="B102" s="861"/>
      <c r="C102" s="867">
        <f t="shared" si="13"/>
        <v>2020</v>
      </c>
      <c r="D102" s="875">
        <f t="shared" si="11"/>
        <v>0.63906655690997916</v>
      </c>
      <c r="E102" s="875">
        <f t="shared" si="12"/>
        <v>0.73499999999999999</v>
      </c>
      <c r="F102" s="861"/>
      <c r="G102" s="861"/>
      <c r="H102" s="861"/>
      <c r="I102" s="861"/>
    </row>
    <row r="103" spans="1:12" s="217" customFormat="1">
      <c r="A103" s="861"/>
      <c r="B103" s="861"/>
      <c r="C103" s="867">
        <f t="shared" si="13"/>
        <v>2021</v>
      </c>
      <c r="D103" s="875">
        <f t="shared" si="11"/>
        <v>0.71555354384396708</v>
      </c>
      <c r="E103" s="875">
        <f t="shared" si="12"/>
        <v>0.79400000000000004</v>
      </c>
      <c r="F103" s="861"/>
      <c r="G103" s="861"/>
      <c r="H103" s="861"/>
      <c r="I103" s="861"/>
    </row>
    <row r="104" spans="1:12" s="217" customFormat="1">
      <c r="A104" s="861"/>
      <c r="B104" s="861"/>
      <c r="C104" s="861"/>
      <c r="D104" s="861"/>
      <c r="E104" s="861"/>
      <c r="F104" s="861"/>
      <c r="G104" s="861"/>
      <c r="H104" s="861"/>
      <c r="I104" s="861"/>
    </row>
    <row r="105" spans="1:12" s="217" customFormat="1">
      <c r="A105" s="861"/>
      <c r="B105" s="877" t="s">
        <v>1169</v>
      </c>
      <c r="C105" s="861"/>
      <c r="D105" s="875">
        <f>AVERAGE(D97:D102)</f>
        <v>0.70088380639064873</v>
      </c>
      <c r="E105" s="875">
        <f>AVERAGE(E97:E102)</f>
        <v>0.74650000000000005</v>
      </c>
      <c r="F105" s="861"/>
      <c r="G105" s="861"/>
      <c r="H105" s="861"/>
      <c r="I105" s="861"/>
    </row>
    <row r="106" spans="1:12" s="217" customFormat="1">
      <c r="A106" s="861"/>
      <c r="B106" s="877" t="s">
        <v>1168</v>
      </c>
      <c r="C106" s="861"/>
      <c r="D106" s="875"/>
      <c r="E106" s="875"/>
      <c r="F106" s="861"/>
      <c r="G106" s="861"/>
      <c r="H106" s="861"/>
      <c r="I106" s="861"/>
    </row>
    <row r="107" spans="1:12" s="217" customFormat="1">
      <c r="A107" s="861"/>
      <c r="B107" s="861"/>
      <c r="C107" s="861"/>
      <c r="D107" s="875">
        <f>AVERAGE(D98:D101)</f>
        <v>0.70648213199609522</v>
      </c>
      <c r="E107" s="875">
        <f>AVERAGE(E97:E100)</f>
        <v>0.74174999999999991</v>
      </c>
      <c r="F107" s="861"/>
      <c r="G107" s="861"/>
      <c r="H107" s="861"/>
      <c r="I107" s="861"/>
    </row>
    <row r="108" spans="1:12" s="217" customFormat="1">
      <c r="A108" s="861"/>
      <c r="B108" s="861"/>
      <c r="C108" s="861"/>
      <c r="D108" s="875"/>
      <c r="E108" s="875"/>
      <c r="F108" s="861"/>
      <c r="G108" s="861"/>
      <c r="H108" s="861"/>
      <c r="I108" s="861"/>
    </row>
    <row r="109" spans="1:12" s="217" customFormat="1">
      <c r="A109" s="861"/>
      <c r="B109" s="877" t="s">
        <v>1167</v>
      </c>
      <c r="C109" s="861"/>
      <c r="D109" s="861"/>
      <c r="E109" s="875">
        <f>E107</f>
        <v>0.74174999999999991</v>
      </c>
      <c r="F109" s="861"/>
      <c r="G109" s="861"/>
      <c r="H109" s="861"/>
      <c r="I109" s="861"/>
    </row>
    <row r="110" spans="1:12" s="217" customFormat="1">
      <c r="A110" s="861"/>
      <c r="B110" s="861" t="s">
        <v>1166</v>
      </c>
      <c r="C110" s="861" t="s">
        <v>1165</v>
      </c>
      <c r="D110" s="861"/>
      <c r="E110" s="861"/>
      <c r="F110" s="861"/>
      <c r="G110" s="861"/>
      <c r="H110" s="861"/>
      <c r="I110" s="861"/>
    </row>
    <row r="112" spans="1:12">
      <c r="A112" s="865" t="s">
        <v>4</v>
      </c>
      <c r="B112" s="864" t="s">
        <v>1164</v>
      </c>
      <c r="C112" s="22"/>
      <c r="D112" s="22"/>
      <c r="E112" s="22"/>
      <c r="F112" s="22"/>
      <c r="G112" s="22"/>
      <c r="H112" s="22"/>
      <c r="I112" s="22"/>
      <c r="J112" s="22"/>
      <c r="K112" s="22"/>
      <c r="L112" s="22"/>
    </row>
    <row r="113" spans="1:12">
      <c r="A113" s="2"/>
      <c r="B113" s="836" t="s">
        <v>1113</v>
      </c>
      <c r="C113" s="138"/>
      <c r="D113" s="138"/>
      <c r="E113" s="138"/>
      <c r="F113" s="2"/>
      <c r="G113" s="22"/>
      <c r="H113" s="22"/>
      <c r="I113" s="22"/>
      <c r="J113" s="22"/>
      <c r="K113" s="22"/>
      <c r="L113" s="22"/>
    </row>
    <row r="114" spans="1:12">
      <c r="A114" s="37"/>
      <c r="B114" s="37"/>
      <c r="C114" s="37"/>
      <c r="D114" s="37"/>
      <c r="E114" s="37"/>
      <c r="F114" s="37"/>
      <c r="G114" s="37"/>
      <c r="H114" s="37"/>
      <c r="I114" s="37"/>
      <c r="J114" s="37"/>
      <c r="K114" s="37"/>
      <c r="L114" s="37"/>
    </row>
    <row r="115" spans="1:12" s="217" customFormat="1">
      <c r="A115" s="861" t="s">
        <v>650</v>
      </c>
      <c r="B115" s="861"/>
      <c r="C115" s="861"/>
      <c r="D115" s="861"/>
      <c r="E115" s="861"/>
      <c r="F115" s="861"/>
      <c r="G115" s="861"/>
    </row>
    <row r="116" spans="1:12" s="217" customFormat="1">
      <c r="A116" s="861"/>
      <c r="B116" s="861" t="s">
        <v>1163</v>
      </c>
      <c r="C116" s="861"/>
      <c r="D116" s="861"/>
      <c r="E116" s="875">
        <f>E109</f>
        <v>0.74174999999999991</v>
      </c>
      <c r="F116" s="861"/>
      <c r="G116" s="861"/>
    </row>
    <row r="117" spans="1:12" s="217" customFormat="1">
      <c r="A117" s="861"/>
      <c r="B117" s="861"/>
      <c r="C117" s="861"/>
      <c r="D117" s="861"/>
      <c r="E117" s="861"/>
      <c r="F117" s="861"/>
      <c r="G117" s="861"/>
    </row>
    <row r="118" spans="1:12" s="217" customFormat="1" ht="28.2">
      <c r="A118" s="861"/>
      <c r="B118" s="872" t="s">
        <v>47</v>
      </c>
      <c r="C118" s="872" t="s">
        <v>699</v>
      </c>
      <c r="D118" s="872" t="s">
        <v>1162</v>
      </c>
      <c r="E118" s="872" t="s">
        <v>1161</v>
      </c>
      <c r="F118" s="872" t="s">
        <v>1160</v>
      </c>
      <c r="G118" s="872" t="s">
        <v>718</v>
      </c>
    </row>
    <row r="119" spans="1:12" s="217" customFormat="1">
      <c r="A119" s="861"/>
      <c r="B119" s="867">
        <v>2015</v>
      </c>
      <c r="C119" s="866">
        <f t="shared" ref="C119:D125" si="14">C26</f>
        <v>49736108</v>
      </c>
      <c r="D119" s="876">
        <f t="shared" si="14"/>
        <v>1.0722</v>
      </c>
      <c r="E119" s="876">
        <f t="shared" ref="E119:E125" si="15">E79</f>
        <v>1.2389070104409194</v>
      </c>
      <c r="F119" s="875">
        <f t="shared" ref="F119:F125" si="16">$E$116*D119/E119</f>
        <v>0.64194030972264493</v>
      </c>
      <c r="G119" s="866">
        <f t="shared" ref="G119:G125" si="17">F119*C119</f>
        <v>31927612.57391892</v>
      </c>
    </row>
    <row r="120" spans="1:12" s="217" customFormat="1">
      <c r="A120" s="861"/>
      <c r="B120" s="867">
        <f t="shared" ref="B120:B125" si="18">B119+1</f>
        <v>2016</v>
      </c>
      <c r="C120" s="866">
        <f t="shared" si="14"/>
        <v>52114124</v>
      </c>
      <c r="D120" s="876">
        <f t="shared" si="14"/>
        <v>1.0681</v>
      </c>
      <c r="E120" s="876">
        <f t="shared" si="15"/>
        <v>1.1954523186577115</v>
      </c>
      <c r="F120" s="875">
        <f t="shared" si="16"/>
        <v>0.66273088657318935</v>
      </c>
      <c r="G120" s="866">
        <f t="shared" si="17"/>
        <v>34537639.601505123</v>
      </c>
    </row>
    <row r="121" spans="1:12" s="217" customFormat="1">
      <c r="A121" s="861"/>
      <c r="B121" s="867">
        <f t="shared" si="18"/>
        <v>2017</v>
      </c>
      <c r="C121" s="866">
        <f t="shared" si="14"/>
        <v>55021088</v>
      </c>
      <c r="D121" s="876">
        <f t="shared" si="14"/>
        <v>1.042</v>
      </c>
      <c r="E121" s="876">
        <f t="shared" si="15"/>
        <v>1.1535218011846493</v>
      </c>
      <c r="F121" s="875">
        <f t="shared" si="16"/>
        <v>0.67003805147526463</v>
      </c>
      <c r="G121" s="866">
        <f t="shared" si="17"/>
        <v>36866222.593569063</v>
      </c>
    </row>
    <row r="122" spans="1:12" s="217" customFormat="1">
      <c r="A122" s="861"/>
      <c r="B122" s="867">
        <f t="shared" si="18"/>
        <v>2018</v>
      </c>
      <c r="C122" s="866">
        <f t="shared" si="14"/>
        <v>56278147</v>
      </c>
      <c r="D122" s="876">
        <f t="shared" si="14"/>
        <v>1.0265</v>
      </c>
      <c r="E122" s="876">
        <f t="shared" si="15"/>
        <v>1.1130619975728753</v>
      </c>
      <c r="F122" s="875">
        <f t="shared" si="16"/>
        <v>0.68406465826729335</v>
      </c>
      <c r="G122" s="866">
        <f t="shared" si="17"/>
        <v>38497891.395471498</v>
      </c>
    </row>
    <row r="123" spans="1:12" s="217" customFormat="1">
      <c r="A123" s="861"/>
      <c r="B123" s="867">
        <f t="shared" si="18"/>
        <v>2019</v>
      </c>
      <c r="C123" s="866">
        <f t="shared" si="14"/>
        <v>58829789</v>
      </c>
      <c r="D123" s="876">
        <f t="shared" si="14"/>
        <v>1.0182</v>
      </c>
      <c r="E123" s="876">
        <f t="shared" si="15"/>
        <v>1.0740213225000002</v>
      </c>
      <c r="F123" s="875">
        <f t="shared" si="16"/>
        <v>0.70319818999682826</v>
      </c>
      <c r="G123" s="866">
        <f t="shared" si="17"/>
        <v>41369001.142695315</v>
      </c>
    </row>
    <row r="124" spans="1:12" s="217" customFormat="1">
      <c r="A124" s="861"/>
      <c r="B124" s="867">
        <f t="shared" si="18"/>
        <v>2020</v>
      </c>
      <c r="C124" s="866">
        <f t="shared" si="14"/>
        <v>61195354</v>
      </c>
      <c r="D124" s="876">
        <f t="shared" si="14"/>
        <v>1.0092000000000001</v>
      </c>
      <c r="E124" s="876">
        <f t="shared" si="15"/>
        <v>1.0363500000000001</v>
      </c>
      <c r="F124" s="875">
        <f t="shared" si="16"/>
        <v>0.7223178462874511</v>
      </c>
      <c r="G124" s="866">
        <f t="shared" si="17"/>
        <v>44202496.304078154</v>
      </c>
    </row>
    <row r="125" spans="1:12" s="217" customFormat="1">
      <c r="A125" s="861"/>
      <c r="B125" s="870">
        <f t="shared" si="18"/>
        <v>2021</v>
      </c>
      <c r="C125" s="868">
        <f t="shared" si="14"/>
        <v>60091505</v>
      </c>
      <c r="D125" s="874">
        <f t="shared" si="14"/>
        <v>1</v>
      </c>
      <c r="E125" s="874">
        <f t="shared" si="15"/>
        <v>1</v>
      </c>
      <c r="F125" s="873">
        <f t="shared" si="16"/>
        <v>0.74174999999999991</v>
      </c>
      <c r="G125" s="868">
        <f t="shared" si="17"/>
        <v>44572873.833749995</v>
      </c>
    </row>
    <row r="126" spans="1:12" s="217" customFormat="1">
      <c r="A126" s="861"/>
      <c r="B126" s="867" t="s">
        <v>98</v>
      </c>
      <c r="C126" s="861"/>
      <c r="D126" s="861"/>
      <c r="E126" s="861"/>
      <c r="F126" s="861"/>
      <c r="G126" s="866">
        <f>SUM(G119:G125)</f>
        <v>271973737.44498807</v>
      </c>
    </row>
    <row r="127" spans="1:12" s="217" customFormat="1"/>
    <row r="128" spans="1:12" s="217" customFormat="1" ht="15.6" customHeight="1">
      <c r="A128" s="865" t="s">
        <v>48</v>
      </c>
      <c r="B128" s="864" t="s">
        <v>1159</v>
      </c>
      <c r="C128" s="864"/>
      <c r="D128" s="864"/>
      <c r="E128" s="864"/>
      <c r="F128" s="864"/>
      <c r="G128" s="864"/>
      <c r="H128" s="864"/>
      <c r="I128" s="864"/>
      <c r="J128" s="864"/>
      <c r="K128" s="864"/>
      <c r="L128" s="864"/>
    </row>
    <row r="129" spans="1:12">
      <c r="A129" s="2"/>
      <c r="B129" s="836" t="s">
        <v>1113</v>
      </c>
      <c r="C129" s="138"/>
      <c r="D129" s="138"/>
      <c r="E129" s="138"/>
      <c r="F129" s="2"/>
      <c r="G129" s="22"/>
      <c r="H129" s="22"/>
      <c r="I129" s="22"/>
      <c r="J129" s="22"/>
      <c r="K129" s="22"/>
      <c r="L129" s="22"/>
    </row>
    <row r="130" spans="1:12">
      <c r="A130" s="37"/>
      <c r="B130" s="37"/>
      <c r="C130" s="37"/>
      <c r="D130" s="37"/>
      <c r="E130" s="37"/>
      <c r="F130" s="37"/>
      <c r="G130" s="37"/>
      <c r="H130" s="37"/>
      <c r="I130" s="37"/>
      <c r="J130" s="37"/>
      <c r="K130" s="37"/>
      <c r="L130" s="37"/>
    </row>
    <row r="131" spans="1:12" s="217" customFormat="1">
      <c r="A131" s="861" t="s">
        <v>650</v>
      </c>
      <c r="B131" s="861"/>
      <c r="C131" s="861"/>
      <c r="D131" s="861"/>
      <c r="E131" s="861"/>
      <c r="F131" s="861"/>
    </row>
    <row r="132" spans="1:12" s="217" customFormat="1" ht="42">
      <c r="A132" s="861"/>
      <c r="B132" s="872" t="s">
        <v>47</v>
      </c>
      <c r="C132" s="872" t="s">
        <v>1078</v>
      </c>
      <c r="D132" s="872" t="s">
        <v>718</v>
      </c>
      <c r="E132" s="872" t="s">
        <v>1158</v>
      </c>
      <c r="F132" s="872" t="s">
        <v>1157</v>
      </c>
    </row>
    <row r="133" spans="1:12" s="217" customFormat="1">
      <c r="A133" s="861"/>
      <c r="B133" s="867">
        <v>2015</v>
      </c>
      <c r="C133" s="866">
        <f t="shared" ref="C133:C139" si="19">C62</f>
        <v>31530</v>
      </c>
      <c r="D133" s="866">
        <f t="shared" ref="D133:D139" si="20">G119</f>
        <v>31927612.57391892</v>
      </c>
      <c r="E133" s="871">
        <f t="shared" ref="E133:E139" si="21">E62</f>
        <v>1.0106417078017822</v>
      </c>
      <c r="F133" s="866">
        <f t="shared" ref="F133:F139" si="22">C133*1000+D133*(1-1/E133)</f>
        <v>31866186.722947706</v>
      </c>
    </row>
    <row r="134" spans="1:12" s="217" customFormat="1">
      <c r="A134" s="861"/>
      <c r="B134" s="867">
        <f t="shared" ref="B134:B139" si="23">B133+1</f>
        <v>2016</v>
      </c>
      <c r="C134" s="866">
        <f t="shared" si="19"/>
        <v>32966</v>
      </c>
      <c r="D134" s="866">
        <f t="shared" si="20"/>
        <v>34537639.601505123</v>
      </c>
      <c r="E134" s="871">
        <f t="shared" si="21"/>
        <v>1.0213966615485028</v>
      </c>
      <c r="F134" s="866">
        <f t="shared" si="22"/>
        <v>33689509.497394688</v>
      </c>
    </row>
    <row r="135" spans="1:12" s="217" customFormat="1">
      <c r="A135" s="861"/>
      <c r="B135" s="867">
        <f t="shared" si="23"/>
        <v>2017</v>
      </c>
      <c r="C135" s="866">
        <f t="shared" si="19"/>
        <v>32690</v>
      </c>
      <c r="D135" s="866">
        <f t="shared" si="20"/>
        <v>36866222.593569063</v>
      </c>
      <c r="E135" s="871">
        <f t="shared" si="21"/>
        <v>1.0764548937451834</v>
      </c>
      <c r="F135" s="866">
        <f t="shared" si="22"/>
        <v>35308412.668803215</v>
      </c>
    </row>
    <row r="136" spans="1:12" s="217" customFormat="1">
      <c r="A136" s="861"/>
      <c r="B136" s="867">
        <f t="shared" si="23"/>
        <v>2018</v>
      </c>
      <c r="C136" s="866">
        <f t="shared" si="19"/>
        <v>32579</v>
      </c>
      <c r="D136" s="866">
        <f t="shared" si="20"/>
        <v>38497891.395471498</v>
      </c>
      <c r="E136" s="871">
        <f t="shared" si="21"/>
        <v>1.1561155768735694</v>
      </c>
      <c r="F136" s="866">
        <f t="shared" si="22"/>
        <v>37777546.446258388</v>
      </c>
    </row>
    <row r="137" spans="1:12" s="217" customFormat="1">
      <c r="A137" s="861"/>
      <c r="B137" s="867">
        <f t="shared" si="23"/>
        <v>2019</v>
      </c>
      <c r="C137" s="866">
        <f t="shared" si="19"/>
        <v>26519</v>
      </c>
      <c r="D137" s="866">
        <f t="shared" si="20"/>
        <v>41369001.142695315</v>
      </c>
      <c r="E137" s="871">
        <f t="shared" si="21"/>
        <v>1.4071194549699486</v>
      </c>
      <c r="F137" s="866">
        <f t="shared" si="22"/>
        <v>38488222.043216646</v>
      </c>
    </row>
    <row r="138" spans="1:12" s="217" customFormat="1">
      <c r="A138" s="861"/>
      <c r="B138" s="867">
        <f t="shared" si="23"/>
        <v>2020</v>
      </c>
      <c r="C138" s="866">
        <f t="shared" si="19"/>
        <v>19889</v>
      </c>
      <c r="D138" s="866">
        <f t="shared" si="20"/>
        <v>44202496.304078154</v>
      </c>
      <c r="E138" s="871">
        <f t="shared" si="21"/>
        <v>1.914795440944177</v>
      </c>
      <c r="F138" s="866">
        <f t="shared" si="22"/>
        <v>41006786.909594685</v>
      </c>
    </row>
    <row r="139" spans="1:12" s="217" customFormat="1">
      <c r="A139" s="861"/>
      <c r="B139" s="870">
        <f t="shared" si="23"/>
        <v>2021</v>
      </c>
      <c r="C139" s="868">
        <f t="shared" si="19"/>
        <v>12410</v>
      </c>
      <c r="D139" s="868">
        <f t="shared" si="20"/>
        <v>44572873.833749995</v>
      </c>
      <c r="E139" s="869">
        <f t="shared" si="21"/>
        <v>3.4648420110932694</v>
      </c>
      <c r="F139" s="868">
        <f t="shared" si="22"/>
        <v>44118543.024136595</v>
      </c>
    </row>
    <row r="140" spans="1:12" s="217" customFormat="1">
      <c r="A140" s="861"/>
      <c r="B140" s="867" t="s">
        <v>98</v>
      </c>
      <c r="C140" s="866">
        <f>SUM(C133:C139)</f>
        <v>188583</v>
      </c>
      <c r="D140" s="861"/>
      <c r="E140" s="861"/>
      <c r="F140" s="866">
        <f>SUM(F133:F139)</f>
        <v>262255207.31235194</v>
      </c>
    </row>
    <row r="142" spans="1:12">
      <c r="A142" s="22"/>
      <c r="B142" s="22"/>
      <c r="C142" s="22"/>
      <c r="D142" s="22"/>
      <c r="E142" s="22"/>
      <c r="F142" s="22"/>
      <c r="G142" s="22"/>
      <c r="H142" s="22"/>
      <c r="I142" s="22"/>
      <c r="J142" s="22"/>
      <c r="K142" s="22"/>
      <c r="L142" s="22"/>
    </row>
    <row r="143" spans="1:12">
      <c r="A143" s="376" t="s">
        <v>1156</v>
      </c>
      <c r="B143" s="22"/>
      <c r="C143" s="22"/>
      <c r="D143" s="22"/>
      <c r="E143" s="22"/>
      <c r="F143" s="22"/>
      <c r="G143" s="22"/>
      <c r="H143" s="22"/>
      <c r="I143" s="22"/>
      <c r="J143" s="22"/>
      <c r="K143" s="22"/>
      <c r="L143" s="22"/>
    </row>
    <row r="144" spans="1:12">
      <c r="A144" s="22"/>
      <c r="B144" s="22"/>
      <c r="C144" s="22"/>
      <c r="D144" s="22"/>
      <c r="E144" s="22"/>
      <c r="F144" s="22"/>
      <c r="G144" s="22"/>
      <c r="H144" s="22"/>
      <c r="I144" s="22"/>
      <c r="J144" s="22"/>
      <c r="K144" s="22"/>
      <c r="L144" s="22"/>
    </row>
    <row r="145" spans="1:12" ht="46.8">
      <c r="A145" s="22"/>
      <c r="B145" s="332" t="s">
        <v>31</v>
      </c>
      <c r="C145" s="334" t="s">
        <v>1155</v>
      </c>
      <c r="D145" s="22"/>
      <c r="E145" s="22"/>
      <c r="F145" s="22"/>
      <c r="G145" s="22"/>
      <c r="H145" s="22"/>
      <c r="I145" s="22"/>
      <c r="J145" s="22"/>
      <c r="K145" s="22"/>
      <c r="L145" s="22"/>
    </row>
    <row r="146" spans="1:12">
      <c r="A146" s="22"/>
      <c r="B146" s="530">
        <v>2015</v>
      </c>
      <c r="C146" s="580">
        <v>33050822</v>
      </c>
      <c r="D146" s="22"/>
      <c r="E146" s="22"/>
      <c r="F146" s="22"/>
      <c r="G146" s="22"/>
      <c r="H146" s="22"/>
      <c r="I146" s="22"/>
      <c r="J146" s="22"/>
      <c r="K146" s="22"/>
      <c r="L146" s="22"/>
    </row>
    <row r="147" spans="1:12">
      <c r="A147" s="22"/>
      <c r="B147" s="530">
        <v>2016</v>
      </c>
      <c r="C147" s="580">
        <v>34902242</v>
      </c>
      <c r="D147" s="22"/>
      <c r="E147" s="22"/>
      <c r="F147" s="22"/>
      <c r="G147" s="22"/>
      <c r="H147" s="22"/>
      <c r="I147" s="22"/>
      <c r="J147" s="22"/>
      <c r="K147" s="22"/>
      <c r="L147" s="22"/>
    </row>
    <row r="148" spans="1:12">
      <c r="A148" s="22"/>
      <c r="B148" s="530">
        <v>2017</v>
      </c>
      <c r="C148" s="580">
        <v>36660362</v>
      </c>
      <c r="D148" s="22"/>
      <c r="E148" s="22"/>
      <c r="F148" s="22"/>
      <c r="G148" s="22"/>
      <c r="H148" s="22"/>
      <c r="I148" s="22"/>
      <c r="J148" s="22"/>
      <c r="K148" s="22"/>
      <c r="L148" s="22"/>
    </row>
    <row r="149" spans="1:12">
      <c r="A149" s="22"/>
      <c r="B149" s="530">
        <v>2018</v>
      </c>
      <c r="C149" s="580">
        <v>37986078</v>
      </c>
      <c r="D149" s="22"/>
      <c r="E149" s="22"/>
      <c r="F149" s="22"/>
      <c r="G149" s="22"/>
      <c r="H149" s="22"/>
      <c r="I149" s="22"/>
      <c r="J149" s="22"/>
      <c r="K149" s="22"/>
      <c r="L149" s="22"/>
    </row>
    <row r="150" spans="1:12">
      <c r="A150" s="22"/>
      <c r="B150" s="530">
        <v>2019</v>
      </c>
      <c r="C150" s="580">
        <v>41178916</v>
      </c>
      <c r="D150" s="22"/>
      <c r="E150" s="22"/>
      <c r="F150" s="22"/>
      <c r="G150" s="22"/>
      <c r="H150" s="22"/>
      <c r="I150" s="22"/>
      <c r="J150" s="22"/>
      <c r="K150" s="22"/>
      <c r="L150" s="22"/>
    </row>
    <row r="151" spans="1:12">
      <c r="A151" s="22"/>
      <c r="B151" s="530">
        <v>2020</v>
      </c>
      <c r="C151" s="580">
        <v>42698643</v>
      </c>
      <c r="D151" s="22"/>
      <c r="E151" s="22"/>
      <c r="F151" s="22"/>
      <c r="G151" s="22"/>
      <c r="H151" s="22"/>
      <c r="I151" s="22"/>
      <c r="J151" s="22"/>
      <c r="K151" s="22"/>
      <c r="L151" s="22"/>
    </row>
    <row r="152" spans="1:12">
      <c r="A152" s="22"/>
      <c r="B152" s="530">
        <v>2021</v>
      </c>
      <c r="C152" s="580">
        <v>45316988</v>
      </c>
      <c r="D152" s="22"/>
      <c r="E152" s="22"/>
      <c r="F152" s="22"/>
      <c r="G152" s="22"/>
      <c r="H152" s="22"/>
      <c r="I152" s="22"/>
      <c r="J152" s="22"/>
      <c r="K152" s="22"/>
      <c r="L152" s="22"/>
    </row>
    <row r="153" spans="1:12">
      <c r="A153" s="22"/>
      <c r="B153" s="528" t="s">
        <v>98</v>
      </c>
      <c r="C153" s="808">
        <v>271794051</v>
      </c>
      <c r="D153" s="22"/>
      <c r="E153" s="22"/>
      <c r="F153" s="22"/>
      <c r="G153" s="22"/>
      <c r="H153" s="22"/>
      <c r="I153" s="22"/>
      <c r="J153" s="22"/>
      <c r="K153" s="22"/>
      <c r="L153" s="22"/>
    </row>
    <row r="154" spans="1:12">
      <c r="A154" s="22"/>
      <c r="B154" s="22"/>
      <c r="C154" s="22"/>
      <c r="D154" s="22"/>
      <c r="E154" s="22"/>
      <c r="F154" s="22"/>
      <c r="G154" s="22"/>
      <c r="H154" s="22"/>
      <c r="I154" s="22"/>
      <c r="J154" s="22"/>
      <c r="K154" s="22"/>
      <c r="L154" s="22"/>
    </row>
    <row r="155" spans="1:12">
      <c r="A155" s="2"/>
      <c r="B155" s="2"/>
      <c r="C155" s="2"/>
      <c r="D155" s="2"/>
      <c r="E155" s="2"/>
      <c r="F155" s="2"/>
      <c r="G155" s="2"/>
      <c r="H155" s="2"/>
      <c r="I155" s="2"/>
      <c r="J155" s="2"/>
      <c r="K155" s="2"/>
      <c r="L155" s="2"/>
    </row>
    <row r="156" spans="1:12" s="217" customFormat="1">
      <c r="A156" s="865" t="s">
        <v>129</v>
      </c>
      <c r="B156" s="864" t="s">
        <v>1154</v>
      </c>
      <c r="C156" s="864"/>
      <c r="D156" s="864"/>
      <c r="E156" s="864"/>
      <c r="F156" s="864"/>
      <c r="G156" s="864"/>
      <c r="H156" s="864"/>
      <c r="I156" s="864"/>
      <c r="J156" s="864"/>
      <c r="K156" s="864"/>
      <c r="L156" s="864"/>
    </row>
    <row r="157" spans="1:12">
      <c r="A157" s="2"/>
      <c r="B157" s="836" t="s">
        <v>1113</v>
      </c>
      <c r="C157" s="138"/>
      <c r="D157" s="138"/>
      <c r="E157" s="138"/>
      <c r="F157" s="2"/>
      <c r="G157" s="22"/>
      <c r="H157" s="22"/>
      <c r="I157" s="22"/>
      <c r="J157" s="22"/>
      <c r="K157" s="22"/>
      <c r="L157" s="22"/>
    </row>
    <row r="158" spans="1:12">
      <c r="A158" s="37"/>
      <c r="B158" s="37"/>
      <c r="C158" s="37"/>
      <c r="D158" s="37"/>
      <c r="E158" s="37"/>
      <c r="F158" s="37"/>
      <c r="G158" s="37"/>
      <c r="H158" s="37"/>
      <c r="I158" s="37"/>
      <c r="J158" s="37"/>
      <c r="K158" s="37"/>
      <c r="L158" s="37"/>
    </row>
    <row r="159" spans="1:12" s="217" customFormat="1">
      <c r="A159" s="861" t="s">
        <v>650</v>
      </c>
      <c r="B159" s="861"/>
      <c r="C159" s="861"/>
      <c r="D159" s="861"/>
    </row>
    <row r="160" spans="1:12" s="217" customFormat="1">
      <c r="A160" s="861"/>
      <c r="B160" s="861" t="s">
        <v>1153</v>
      </c>
      <c r="C160" s="861"/>
      <c r="D160" s="863">
        <f>(C13+D12+E11+F10+G9+H8+I7)*1000</f>
        <v>238061000</v>
      </c>
    </row>
    <row r="161" spans="1:12" s="217" customFormat="1">
      <c r="A161" s="861"/>
      <c r="B161" s="861"/>
      <c r="C161" s="861"/>
      <c r="D161" s="861"/>
    </row>
    <row r="162" spans="1:12" s="217" customFormat="1">
      <c r="A162" s="861"/>
      <c r="B162" s="861" t="s">
        <v>1152</v>
      </c>
      <c r="C162" s="861"/>
      <c r="D162" s="862">
        <f>C153-C140*1000</f>
        <v>83211051</v>
      </c>
    </row>
    <row r="163" spans="1:12" s="217" customFormat="1">
      <c r="A163" s="861"/>
      <c r="B163" s="861" t="s">
        <v>1151</v>
      </c>
      <c r="C163" s="861"/>
      <c r="D163" s="862">
        <f>D160-C140*1000</f>
        <v>49478000</v>
      </c>
      <c r="E163" s="861"/>
    </row>
    <row r="164" spans="1:12" s="217" customFormat="1">
      <c r="A164" s="861"/>
      <c r="B164" s="861" t="s">
        <v>1150</v>
      </c>
      <c r="C164" s="861"/>
      <c r="D164" s="862">
        <f>D162-D163</f>
        <v>33733051</v>
      </c>
      <c r="E164" s="861"/>
    </row>
    <row r="166" spans="1:12">
      <c r="A166" s="22"/>
      <c r="B166" s="22"/>
      <c r="C166" s="22"/>
      <c r="D166" s="22"/>
      <c r="E166" s="22"/>
      <c r="F166" s="22"/>
      <c r="G166" s="22"/>
      <c r="H166" s="22"/>
      <c r="I166" s="22"/>
      <c r="J166" s="22"/>
      <c r="K166" s="22"/>
      <c r="L166" s="22"/>
    </row>
    <row r="167" spans="1:12">
      <c r="A167" s="22" t="s">
        <v>1149</v>
      </c>
      <c r="B167" s="22"/>
      <c r="C167" s="22"/>
      <c r="D167" s="22"/>
      <c r="E167" s="22"/>
      <c r="F167" s="22"/>
      <c r="G167" s="22"/>
      <c r="H167" s="22"/>
      <c r="I167" s="22"/>
      <c r="J167" s="22"/>
      <c r="K167" s="22"/>
      <c r="L167" s="22"/>
    </row>
    <row r="168" spans="1:12">
      <c r="A168" s="22"/>
      <c r="B168" s="22"/>
      <c r="C168" s="22"/>
      <c r="D168" s="22"/>
      <c r="E168" s="22"/>
      <c r="F168" s="22"/>
      <c r="G168" s="22"/>
      <c r="H168" s="22"/>
      <c r="I168" s="22"/>
      <c r="J168" s="22"/>
      <c r="K168" s="22"/>
      <c r="L168" s="22"/>
    </row>
    <row r="169" spans="1:12">
      <c r="A169" s="22"/>
      <c r="B169" s="334" t="s">
        <v>31</v>
      </c>
      <c r="C169" s="1751" t="s">
        <v>1148</v>
      </c>
      <c r="D169" s="1751"/>
      <c r="E169" s="22"/>
      <c r="F169" s="22"/>
      <c r="G169" s="22"/>
      <c r="H169" s="22"/>
      <c r="I169" s="22"/>
      <c r="J169" s="22"/>
      <c r="K169" s="22"/>
      <c r="L169" s="22"/>
    </row>
    <row r="170" spans="1:12">
      <c r="A170" s="22"/>
      <c r="B170" s="530">
        <v>2015</v>
      </c>
      <c r="C170" s="1762">
        <v>32925000</v>
      </c>
      <c r="D170" s="1762"/>
      <c r="E170" s="22"/>
      <c r="F170" s="22"/>
      <c r="G170" s="22"/>
      <c r="H170" s="22"/>
      <c r="I170" s="22"/>
      <c r="J170" s="22"/>
      <c r="K170" s="22"/>
      <c r="L170" s="22"/>
    </row>
    <row r="171" spans="1:12">
      <c r="A171" s="22"/>
      <c r="B171" s="530">
        <v>2016</v>
      </c>
      <c r="C171" s="1762">
        <v>34599600</v>
      </c>
      <c r="D171" s="1762"/>
      <c r="E171" s="22"/>
      <c r="F171" s="22"/>
      <c r="G171" s="22"/>
      <c r="H171" s="22"/>
      <c r="I171" s="22"/>
      <c r="J171" s="22"/>
      <c r="K171" s="22"/>
      <c r="L171" s="22"/>
    </row>
    <row r="172" spans="1:12">
      <c r="A172" s="22"/>
      <c r="B172" s="530">
        <v>2017</v>
      </c>
      <c r="C172" s="1762">
        <v>36055609</v>
      </c>
      <c r="D172" s="1762"/>
      <c r="E172" s="22"/>
      <c r="F172" s="22"/>
      <c r="G172" s="22"/>
      <c r="H172" s="22"/>
      <c r="I172" s="22"/>
      <c r="J172" s="22"/>
      <c r="K172" s="22"/>
      <c r="L172" s="22"/>
    </row>
    <row r="173" spans="1:12">
      <c r="A173" s="22"/>
      <c r="B173" s="530">
        <v>2018</v>
      </c>
      <c r="C173" s="1762">
        <v>36105780</v>
      </c>
      <c r="D173" s="1762"/>
      <c r="E173" s="22"/>
      <c r="F173" s="22"/>
      <c r="G173" s="22"/>
      <c r="H173" s="22"/>
      <c r="I173" s="22"/>
      <c r="J173" s="22"/>
      <c r="K173" s="22"/>
      <c r="L173" s="22"/>
    </row>
    <row r="174" spans="1:12">
      <c r="A174" s="22"/>
      <c r="B174" s="530">
        <v>2019</v>
      </c>
      <c r="C174" s="1762">
        <v>35158600</v>
      </c>
      <c r="D174" s="1762"/>
      <c r="E174" s="22"/>
      <c r="F174" s="22"/>
      <c r="G174" s="22"/>
      <c r="H174" s="22"/>
      <c r="I174" s="22"/>
      <c r="J174" s="22"/>
      <c r="K174" s="22"/>
      <c r="L174" s="22"/>
    </row>
    <row r="175" spans="1:12">
      <c r="A175" s="22"/>
      <c r="B175" s="530">
        <v>2020</v>
      </c>
      <c r="C175" s="1762">
        <v>32342000</v>
      </c>
      <c r="D175" s="1762"/>
      <c r="E175" s="22"/>
      <c r="F175" s="22"/>
      <c r="G175" s="22"/>
      <c r="H175" s="22"/>
      <c r="I175" s="22"/>
      <c r="J175" s="22"/>
      <c r="K175" s="22"/>
      <c r="L175" s="22"/>
    </row>
    <row r="176" spans="1:12">
      <c r="A176" s="22"/>
      <c r="B176" s="530">
        <v>2021</v>
      </c>
      <c r="C176" s="1762">
        <v>33780455</v>
      </c>
      <c r="D176" s="1762"/>
      <c r="E176" s="22"/>
      <c r="F176" s="22"/>
      <c r="G176" s="22"/>
      <c r="H176" s="22"/>
      <c r="I176" s="22"/>
      <c r="J176" s="22"/>
      <c r="K176" s="22"/>
      <c r="L176" s="22"/>
    </row>
    <row r="177" spans="1:12">
      <c r="A177" s="22"/>
      <c r="B177" s="528" t="s">
        <v>98</v>
      </c>
      <c r="C177" s="1845">
        <v>240967044</v>
      </c>
      <c r="D177" s="1845"/>
      <c r="E177" s="22"/>
      <c r="F177" s="22"/>
      <c r="G177" s="22"/>
      <c r="H177" s="22"/>
      <c r="I177" s="22"/>
      <c r="J177" s="22"/>
      <c r="K177" s="22"/>
      <c r="L177" s="22"/>
    </row>
    <row r="178" spans="1:12">
      <c r="A178" s="22"/>
      <c r="B178" s="22"/>
      <c r="C178" s="22"/>
      <c r="D178" s="22"/>
      <c r="E178" s="22"/>
      <c r="F178" s="22"/>
      <c r="G178" s="22"/>
      <c r="H178" s="22"/>
      <c r="I178" s="22"/>
      <c r="J178" s="22"/>
      <c r="K178" s="22"/>
      <c r="L178" s="22"/>
    </row>
    <row r="179" spans="1:12">
      <c r="A179" s="2"/>
      <c r="B179" s="2"/>
      <c r="C179" s="2"/>
      <c r="D179" s="2"/>
      <c r="E179" s="2"/>
      <c r="F179" s="2"/>
      <c r="G179" s="2"/>
      <c r="H179" s="2"/>
      <c r="I179" s="2"/>
      <c r="J179" s="2"/>
      <c r="K179" s="2"/>
      <c r="L179" s="2"/>
    </row>
    <row r="180" spans="1:12">
      <c r="A180" s="577" t="s">
        <v>235</v>
      </c>
      <c r="B180" s="1724" t="s">
        <v>1147</v>
      </c>
      <c r="C180" s="1724"/>
      <c r="D180" s="1724"/>
      <c r="E180" s="1724"/>
      <c r="F180" s="1724"/>
      <c r="G180" s="1724"/>
      <c r="H180" s="1724"/>
      <c r="I180" s="1724"/>
      <c r="J180" s="1724"/>
      <c r="K180" s="1724"/>
      <c r="L180" s="22"/>
    </row>
    <row r="181" spans="1:12">
      <c r="A181" s="577"/>
      <c r="B181" s="1724"/>
      <c r="C181" s="1724"/>
      <c r="D181" s="1724"/>
      <c r="E181" s="1724"/>
      <c r="F181" s="1724"/>
      <c r="G181" s="1724"/>
      <c r="H181" s="1724"/>
      <c r="I181" s="1724"/>
      <c r="J181" s="1724"/>
      <c r="K181" s="1724"/>
      <c r="L181" s="22"/>
    </row>
    <row r="182" spans="1:12">
      <c r="A182" s="2"/>
      <c r="B182" s="2"/>
      <c r="C182" s="2"/>
      <c r="D182" s="2"/>
      <c r="E182" s="2"/>
      <c r="F182" s="2"/>
      <c r="G182" s="22"/>
      <c r="H182" s="22"/>
      <c r="I182" s="22"/>
      <c r="J182" s="22"/>
      <c r="K182" s="22"/>
      <c r="L182" s="22"/>
    </row>
    <row r="183" spans="1:12">
      <c r="A183" s="37"/>
      <c r="B183" s="37"/>
      <c r="C183" s="37"/>
      <c r="D183" s="37"/>
      <c r="E183" s="37"/>
      <c r="F183" s="37"/>
      <c r="G183" s="37"/>
      <c r="H183" s="37"/>
      <c r="I183" s="37"/>
      <c r="J183" s="37"/>
      <c r="K183" s="37"/>
      <c r="L183" s="37"/>
    </row>
    <row r="184" spans="1:12">
      <c r="A184" s="37" t="s">
        <v>650</v>
      </c>
      <c r="B184" s="37"/>
      <c r="C184" s="37"/>
      <c r="D184" s="37"/>
      <c r="E184" s="37"/>
      <c r="F184" s="37"/>
      <c r="G184" s="37"/>
      <c r="H184" s="37"/>
      <c r="I184" s="37"/>
      <c r="J184" s="37"/>
      <c r="K184" s="37"/>
      <c r="L184" s="37"/>
    </row>
    <row r="185" spans="1:12">
      <c r="A185" s="37"/>
      <c r="B185" s="37"/>
      <c r="C185" s="37"/>
      <c r="D185" s="37"/>
      <c r="E185" s="37"/>
      <c r="F185" s="37"/>
      <c r="G185" s="37"/>
      <c r="H185" s="37"/>
      <c r="I185" s="37"/>
      <c r="J185" s="37"/>
      <c r="K185" s="37"/>
      <c r="L185" s="37"/>
    </row>
    <row r="186" spans="1:12">
      <c r="A186" s="37"/>
      <c r="B186" s="37"/>
      <c r="C186" s="860" t="str">
        <f>"As of Dec. 31, "&amp;B196</f>
        <v>As of Dec. 31, 2021</v>
      </c>
      <c r="D186" s="859"/>
      <c r="E186" s="37"/>
      <c r="F186" s="37"/>
      <c r="G186" s="37"/>
      <c r="H186" s="37"/>
      <c r="I186" s="37"/>
      <c r="J186" s="37"/>
      <c r="K186" s="37"/>
      <c r="L186" s="37"/>
    </row>
    <row r="187" spans="1:12">
      <c r="B187" s="37"/>
      <c r="C187" s="327" t="s">
        <v>1146</v>
      </c>
      <c r="D187" s="327"/>
      <c r="E187" s="327" t="s">
        <v>610</v>
      </c>
      <c r="F187" s="37"/>
      <c r="G187" s="37"/>
      <c r="H187" s="859" t="s">
        <v>1145</v>
      </c>
      <c r="I187" s="859"/>
      <c r="J187" s="859"/>
      <c r="K187" s="37"/>
      <c r="L187" s="37"/>
    </row>
    <row r="188" spans="1:12">
      <c r="B188" s="327" t="s">
        <v>1068</v>
      </c>
      <c r="C188" s="327" t="s">
        <v>115</v>
      </c>
      <c r="D188" s="327" t="s">
        <v>610</v>
      </c>
      <c r="E188" s="327" t="s">
        <v>1144</v>
      </c>
      <c r="F188" s="860" t="s">
        <v>1143</v>
      </c>
      <c r="G188" s="859"/>
      <c r="H188" s="860" t="str">
        <f>"from "&amp;F189&amp;" through "&amp;TEXT(E189,"mmm. D, yyyy")</f>
        <v>from Dec. 31, 2021 through Mar. 31, 2022</v>
      </c>
      <c r="I188" s="859"/>
      <c r="J188" s="859"/>
      <c r="K188" s="37"/>
      <c r="L188" s="37"/>
    </row>
    <row r="189" spans="1:12">
      <c r="B189" s="576" t="s">
        <v>76</v>
      </c>
      <c r="C189" s="576" t="s">
        <v>1142</v>
      </c>
      <c r="D189" s="576" t="s">
        <v>1142</v>
      </c>
      <c r="E189" s="857">
        <v>44651</v>
      </c>
      <c r="F189" s="858" t="s">
        <v>1141</v>
      </c>
      <c r="G189" s="857">
        <f>E189</f>
        <v>44651</v>
      </c>
      <c r="H189" s="576" t="s">
        <v>1140</v>
      </c>
      <c r="I189" s="576" t="s">
        <v>1139</v>
      </c>
      <c r="J189" s="576" t="s">
        <v>256</v>
      </c>
      <c r="K189" s="37"/>
      <c r="L189" s="37"/>
    </row>
    <row r="190" spans="1:12">
      <c r="B190" s="327">
        <f t="shared" ref="B190:B195" si="24">B191-1</f>
        <v>2015</v>
      </c>
      <c r="C190" s="634">
        <f t="shared" ref="C190:C196" si="25">C146</f>
        <v>33050822</v>
      </c>
      <c r="D190" s="634">
        <f>I7*1000</f>
        <v>32886000</v>
      </c>
      <c r="E190" s="634">
        <f t="shared" ref="E190:E196" si="26">C170</f>
        <v>32925000</v>
      </c>
      <c r="F190" s="856">
        <f t="shared" ref="F190:F196" si="27">D190/C190</f>
        <v>0.99501307410750628</v>
      </c>
      <c r="G190" s="856">
        <f>((12-3)*F190+3*1)/12</f>
        <v>0.99625980558062965</v>
      </c>
      <c r="H190" s="634">
        <f t="shared" ref="H190:H196" si="28">E190-D190</f>
        <v>39000</v>
      </c>
      <c r="I190" s="634">
        <f t="shared" ref="I190:I196" si="29">(C190-D190)*(G190-F190)/(1-F190)</f>
        <v>41205.499999998166</v>
      </c>
      <c r="J190" s="634">
        <f t="shared" ref="J190:J196" si="30">H190-I190</f>
        <v>-2205.4999999981665</v>
      </c>
      <c r="K190" s="37"/>
      <c r="L190" s="37"/>
    </row>
    <row r="191" spans="1:12">
      <c r="B191" s="327">
        <f t="shared" si="24"/>
        <v>2016</v>
      </c>
      <c r="C191" s="634">
        <f t="shared" si="25"/>
        <v>34902242</v>
      </c>
      <c r="D191" s="634">
        <f>H8*1000</f>
        <v>34555000</v>
      </c>
      <c r="E191" s="634">
        <f t="shared" si="26"/>
        <v>34599600</v>
      </c>
      <c r="F191" s="856">
        <f t="shared" si="27"/>
        <v>0.99005101162269171</v>
      </c>
      <c r="G191" s="856">
        <f t="shared" ref="G191:G196" si="31">((12-3)*F191+3*F190)/12</f>
        <v>0.99129152724389547</v>
      </c>
      <c r="H191" s="634">
        <f t="shared" si="28"/>
        <v>44600</v>
      </c>
      <c r="I191" s="634">
        <f t="shared" si="29"/>
        <v>43296.776416033557</v>
      </c>
      <c r="J191" s="634">
        <f t="shared" si="30"/>
        <v>1303.2235839664427</v>
      </c>
      <c r="K191" s="37"/>
      <c r="L191" s="37"/>
    </row>
    <row r="192" spans="1:12">
      <c r="B192" s="327">
        <f t="shared" si="24"/>
        <v>2017</v>
      </c>
      <c r="C192" s="634">
        <f t="shared" si="25"/>
        <v>36660362</v>
      </c>
      <c r="D192" s="634">
        <f>G9*1000</f>
        <v>35972000</v>
      </c>
      <c r="E192" s="634">
        <f t="shared" si="26"/>
        <v>36055609</v>
      </c>
      <c r="F192" s="856">
        <f t="shared" si="27"/>
        <v>0.98122326233439816</v>
      </c>
      <c r="G192" s="856">
        <f t="shared" si="31"/>
        <v>0.98343019965647149</v>
      </c>
      <c r="H192" s="634">
        <f t="shared" si="28"/>
        <v>83609</v>
      </c>
      <c r="I192" s="634">
        <f t="shared" si="29"/>
        <v>80907.121138519142</v>
      </c>
      <c r="J192" s="634">
        <f t="shared" si="30"/>
        <v>2701.8788614808582</v>
      </c>
      <c r="K192" s="37"/>
      <c r="L192" s="37"/>
    </row>
    <row r="193" spans="1:12">
      <c r="B193" s="327">
        <f t="shared" si="24"/>
        <v>2018</v>
      </c>
      <c r="C193" s="634">
        <f t="shared" si="25"/>
        <v>37986078</v>
      </c>
      <c r="D193" s="634">
        <f>F10*1000</f>
        <v>35453000</v>
      </c>
      <c r="E193" s="634">
        <f t="shared" si="26"/>
        <v>36105780</v>
      </c>
      <c r="F193" s="856">
        <f t="shared" si="27"/>
        <v>0.93331562158114878</v>
      </c>
      <c r="G193" s="856">
        <f t="shared" si="31"/>
        <v>0.94529253176946115</v>
      </c>
      <c r="H193" s="634">
        <f t="shared" si="28"/>
        <v>652780</v>
      </c>
      <c r="I193" s="634">
        <f t="shared" si="29"/>
        <v>454955.84461222863</v>
      </c>
      <c r="J193" s="634">
        <f t="shared" si="30"/>
        <v>197824.15538777137</v>
      </c>
      <c r="K193" s="37"/>
      <c r="L193" s="37"/>
    </row>
    <row r="194" spans="1:12">
      <c r="B194" s="327">
        <f t="shared" si="24"/>
        <v>2019</v>
      </c>
      <c r="C194" s="634">
        <f t="shared" si="25"/>
        <v>41178916</v>
      </c>
      <c r="D194" s="634">
        <f>E11*1000</f>
        <v>33927000</v>
      </c>
      <c r="E194" s="634">
        <f t="shared" si="26"/>
        <v>35158600</v>
      </c>
      <c r="F194" s="856">
        <f t="shared" si="27"/>
        <v>0.8238924987729157</v>
      </c>
      <c r="G194" s="856">
        <f t="shared" si="31"/>
        <v>0.85124827947497395</v>
      </c>
      <c r="H194" s="634">
        <f t="shared" si="28"/>
        <v>1231600</v>
      </c>
      <c r="I194" s="634">
        <f t="shared" si="29"/>
        <v>1126481.3956444771</v>
      </c>
      <c r="J194" s="634">
        <f t="shared" si="30"/>
        <v>105118.6043555229</v>
      </c>
      <c r="K194" s="37"/>
      <c r="L194" s="37"/>
    </row>
    <row r="195" spans="1:12">
      <c r="B195" s="327">
        <f t="shared" si="24"/>
        <v>2020</v>
      </c>
      <c r="C195" s="634">
        <f t="shared" si="25"/>
        <v>42698643</v>
      </c>
      <c r="D195" s="634">
        <f>D12*1000</f>
        <v>31041000</v>
      </c>
      <c r="E195" s="634">
        <f t="shared" si="26"/>
        <v>32342000</v>
      </c>
      <c r="F195" s="856">
        <f t="shared" si="27"/>
        <v>0.7269786067908528</v>
      </c>
      <c r="G195" s="856">
        <f t="shared" si="31"/>
        <v>0.75120707978636858</v>
      </c>
      <c r="H195" s="634">
        <f t="shared" si="28"/>
        <v>1301000</v>
      </c>
      <c r="I195" s="634">
        <f t="shared" si="29"/>
        <v>1034522.9188706689</v>
      </c>
      <c r="J195" s="634">
        <f t="shared" si="30"/>
        <v>266477.08112933114</v>
      </c>
      <c r="K195" s="37"/>
      <c r="L195" s="37"/>
    </row>
    <row r="196" spans="1:12">
      <c r="B196" s="576">
        <v>2021</v>
      </c>
      <c r="C196" s="635">
        <f t="shared" si="25"/>
        <v>45316988</v>
      </c>
      <c r="D196" s="635">
        <f>C13*1000</f>
        <v>34227000</v>
      </c>
      <c r="E196" s="635">
        <f t="shared" si="26"/>
        <v>33780455</v>
      </c>
      <c r="F196" s="648">
        <f t="shared" si="27"/>
        <v>0.75527967569247978</v>
      </c>
      <c r="G196" s="648">
        <f t="shared" si="31"/>
        <v>0.74820440846707292</v>
      </c>
      <c r="H196" s="635">
        <f t="shared" si="28"/>
        <v>-446545</v>
      </c>
      <c r="I196" s="635">
        <f t="shared" si="29"/>
        <v>-320629.79995055578</v>
      </c>
      <c r="J196" s="635">
        <f t="shared" si="30"/>
        <v>-125915.20004944422</v>
      </c>
      <c r="K196" s="37"/>
      <c r="L196" s="37"/>
    </row>
    <row r="197" spans="1:12">
      <c r="B197" s="327" t="s">
        <v>98</v>
      </c>
      <c r="C197" s="634">
        <f>SUM(C190:C196)</f>
        <v>271794051</v>
      </c>
      <c r="D197" s="634">
        <f>SUM(D190:D196)</f>
        <v>238061000</v>
      </c>
      <c r="E197" s="634">
        <f>SUM(E190:E196)</f>
        <v>240967044</v>
      </c>
      <c r="F197" s="37"/>
      <c r="G197" s="37"/>
      <c r="H197" s="634">
        <f>SUM(H190:H196)</f>
        <v>2906044</v>
      </c>
      <c r="I197" s="634">
        <f>SUM(I190:I196)</f>
        <v>2460739.7567313695</v>
      </c>
      <c r="J197" s="634">
        <f>SUM(J190:J196)</f>
        <v>445304.24326863035</v>
      </c>
      <c r="K197" s="37"/>
      <c r="L197" s="37"/>
    </row>
    <row r="199" spans="1:12">
      <c r="A199" s="577" t="s">
        <v>230</v>
      </c>
      <c r="B199" s="22" t="s">
        <v>1138</v>
      </c>
      <c r="C199" s="22"/>
      <c r="D199" s="22"/>
      <c r="E199" s="22"/>
      <c r="F199" s="22"/>
      <c r="G199" s="22"/>
      <c r="H199" s="22"/>
      <c r="I199" s="22"/>
      <c r="J199" s="22"/>
      <c r="K199" s="22"/>
      <c r="L199" s="22"/>
    </row>
    <row r="200" spans="1:12">
      <c r="A200" s="2"/>
      <c r="B200" s="2"/>
      <c r="C200" s="2"/>
      <c r="D200" s="2"/>
      <c r="E200" s="2"/>
      <c r="F200" s="2"/>
      <c r="G200" s="22"/>
      <c r="H200" s="22"/>
      <c r="I200" s="22"/>
      <c r="J200" s="22"/>
      <c r="K200" s="22"/>
      <c r="L200" s="22"/>
    </row>
    <row r="201" spans="1:12">
      <c r="A201" s="37"/>
      <c r="B201" s="37"/>
      <c r="C201" s="37"/>
      <c r="D201" s="37"/>
      <c r="E201" s="37"/>
      <c r="F201" s="37"/>
      <c r="G201" s="37"/>
      <c r="H201" s="37"/>
      <c r="I201" s="37"/>
      <c r="J201" s="37"/>
      <c r="K201" s="37"/>
      <c r="L201" s="37"/>
    </row>
    <row r="202" spans="1:12">
      <c r="A202" s="37" t="s">
        <v>650</v>
      </c>
      <c r="B202" s="37"/>
      <c r="C202" s="37"/>
      <c r="D202" s="37"/>
      <c r="E202" s="37"/>
      <c r="F202" s="37"/>
      <c r="G202" s="37"/>
      <c r="H202" s="37"/>
      <c r="I202" s="37"/>
      <c r="J202" s="37"/>
      <c r="K202" s="37"/>
      <c r="L202" s="37"/>
    </row>
    <row r="203" spans="1:12">
      <c r="B203" s="1" t="s">
        <v>1137</v>
      </c>
    </row>
    <row r="204" spans="1:12">
      <c r="B204" s="1" t="s">
        <v>1136</v>
      </c>
    </row>
  </sheetData>
  <mergeCells count="21">
    <mergeCell ref="E29:F29"/>
    <mergeCell ref="E30:F30"/>
    <mergeCell ref="E31:F31"/>
    <mergeCell ref="E27:F27"/>
    <mergeCell ref="B180:K181"/>
    <mergeCell ref="C172:D172"/>
    <mergeCell ref="C173:D173"/>
    <mergeCell ref="C174:D174"/>
    <mergeCell ref="C175:D175"/>
    <mergeCell ref="C176:D176"/>
    <mergeCell ref="C177:D177"/>
    <mergeCell ref="E32:F32"/>
    <mergeCell ref="C169:D169"/>
    <mergeCell ref="C170:D170"/>
    <mergeCell ref="D60:E60"/>
    <mergeCell ref="C171:D171"/>
    <mergeCell ref="C5:I5"/>
    <mergeCell ref="C15:I15"/>
    <mergeCell ref="E25:F25"/>
    <mergeCell ref="E26:F26"/>
    <mergeCell ref="E28:F28"/>
  </mergeCells>
  <pageMargins left="0.7" right="0.7" top="0.75" bottom="0.75" header="0.3" footer="0.3"/>
  <pageSetup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1BB3D-2143-4BC2-9B30-C14AC3199E21}">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2357B-C41A-40FA-A377-2C0FD51B90CD}">
  <dimension ref="A1:M91"/>
  <sheetViews>
    <sheetView workbookViewId="0"/>
  </sheetViews>
  <sheetFormatPr defaultRowHeight="14.4"/>
  <cols>
    <col min="11" max="11" width="7.5546875" customWidth="1"/>
    <col min="12" max="12" width="7.33203125" customWidth="1"/>
  </cols>
  <sheetData>
    <row r="1" spans="1:13" ht="17.399999999999999">
      <c r="A1" s="23" t="s">
        <v>61</v>
      </c>
      <c r="B1" s="22"/>
      <c r="C1" s="22"/>
      <c r="D1" s="22"/>
      <c r="E1" s="22"/>
      <c r="F1" s="22"/>
      <c r="G1" s="22"/>
      <c r="H1" s="22"/>
      <c r="I1" s="22"/>
      <c r="J1" s="22"/>
      <c r="K1" s="22"/>
      <c r="L1" s="2"/>
      <c r="M1" s="44"/>
    </row>
    <row r="2" spans="1:13" ht="50.25" customHeight="1">
      <c r="A2" s="1655" t="s">
        <v>60</v>
      </c>
      <c r="B2" s="1655"/>
      <c r="C2" s="1655"/>
      <c r="D2" s="1655"/>
      <c r="E2" s="1655"/>
      <c r="F2" s="1655"/>
      <c r="G2" s="1655"/>
      <c r="H2" s="1655"/>
      <c r="I2" s="1655"/>
      <c r="J2" s="1655"/>
      <c r="K2" s="1655"/>
      <c r="L2" s="1655"/>
      <c r="M2" s="44"/>
    </row>
    <row r="3" spans="1:13" ht="15.75" customHeight="1">
      <c r="A3" s="45"/>
      <c r="B3" s="45"/>
      <c r="C3" s="45"/>
      <c r="D3" s="45"/>
      <c r="E3" s="45"/>
      <c r="F3" s="45"/>
      <c r="G3" s="45"/>
      <c r="H3" s="45"/>
      <c r="I3" s="45"/>
      <c r="J3" s="45"/>
      <c r="K3" s="45"/>
      <c r="L3" s="45"/>
      <c r="M3" s="44"/>
    </row>
    <row r="4" spans="1:13" ht="15" customHeight="1">
      <c r="A4" s="1655" t="s">
        <v>59</v>
      </c>
      <c r="B4" s="1655"/>
      <c r="C4" s="1655"/>
      <c r="D4" s="1655"/>
      <c r="E4" s="1655"/>
      <c r="F4" s="1655"/>
      <c r="G4" s="1655"/>
      <c r="H4" s="1655"/>
      <c r="I4" s="1655"/>
      <c r="J4" s="1655"/>
      <c r="K4" s="1655"/>
      <c r="L4" s="1655"/>
      <c r="M4" s="44"/>
    </row>
    <row r="5" spans="1:13" ht="15" customHeight="1">
      <c r="A5" s="45"/>
      <c r="B5" s="5" t="s">
        <v>58</v>
      </c>
      <c r="C5" s="45"/>
      <c r="D5" s="45"/>
      <c r="E5" s="45"/>
      <c r="F5" s="45"/>
      <c r="G5" s="45"/>
      <c r="H5" s="45"/>
      <c r="I5" s="45"/>
      <c r="J5" s="45"/>
      <c r="K5" s="45"/>
      <c r="L5" s="45"/>
      <c r="M5" s="44"/>
    </row>
    <row r="6" spans="1:13" ht="16.2">
      <c r="A6" s="45"/>
      <c r="B6" s="5"/>
      <c r="C6" s="45"/>
      <c r="D6" s="45"/>
      <c r="E6" s="45"/>
      <c r="F6" s="45"/>
      <c r="G6" s="45"/>
      <c r="H6" s="45"/>
      <c r="I6" s="45"/>
      <c r="J6" s="45"/>
      <c r="K6" s="45"/>
      <c r="L6" s="45"/>
      <c r="M6" s="44"/>
    </row>
    <row r="7" spans="1:13" ht="15.6">
      <c r="A7" s="4" t="s">
        <v>15</v>
      </c>
      <c r="B7" s="45"/>
      <c r="C7" s="45"/>
      <c r="D7" s="45"/>
      <c r="E7" s="45"/>
      <c r="F7" s="45"/>
      <c r="G7" s="45"/>
      <c r="H7" s="45"/>
      <c r="I7" s="45"/>
      <c r="J7" s="45"/>
      <c r="K7" s="45"/>
      <c r="L7" s="45"/>
      <c r="M7" s="44"/>
    </row>
    <row r="8" spans="1:13" ht="15.6">
      <c r="A8" s="3"/>
      <c r="B8" s="3"/>
      <c r="C8" s="3"/>
      <c r="D8" s="3"/>
      <c r="E8" s="3"/>
      <c r="F8" s="3"/>
      <c r="G8" s="3"/>
      <c r="H8" s="3"/>
      <c r="I8" s="3"/>
      <c r="J8" s="3"/>
      <c r="K8" s="3"/>
      <c r="L8" s="3"/>
      <c r="M8" s="44"/>
    </row>
    <row r="9" spans="1:13" ht="15.6">
      <c r="A9" s="54" t="s">
        <v>9</v>
      </c>
      <c r="B9" s="47" t="s">
        <v>57</v>
      </c>
      <c r="C9" s="3"/>
      <c r="D9" s="3"/>
      <c r="E9" s="3"/>
      <c r="F9" s="3"/>
      <c r="G9" s="3"/>
      <c r="H9" s="3"/>
      <c r="I9" s="3"/>
      <c r="J9" s="3"/>
      <c r="K9" s="53"/>
      <c r="L9" s="3"/>
      <c r="M9" s="52"/>
    </row>
    <row r="10" spans="1:13" ht="16.2">
      <c r="A10" s="49"/>
      <c r="B10" s="46"/>
      <c r="C10" s="3"/>
      <c r="D10" s="5" t="s">
        <v>52</v>
      </c>
      <c r="E10" s="3"/>
      <c r="F10" s="3"/>
      <c r="G10" s="3"/>
      <c r="H10" s="3"/>
      <c r="I10" s="3"/>
      <c r="J10" s="3"/>
      <c r="K10" s="3"/>
      <c r="L10" s="3"/>
      <c r="M10" s="44"/>
    </row>
    <row r="11" spans="1:13" ht="18.600000000000001">
      <c r="A11" s="27" t="s">
        <v>7</v>
      </c>
      <c r="B11" s="47" t="s">
        <v>56</v>
      </c>
      <c r="C11" s="3"/>
      <c r="D11" s="3"/>
      <c r="E11" s="3"/>
      <c r="F11" s="3"/>
      <c r="G11" s="3"/>
      <c r="H11" s="3"/>
      <c r="I11" s="3"/>
      <c r="J11" s="3"/>
      <c r="K11" s="53"/>
      <c r="L11" s="3"/>
      <c r="M11" s="52"/>
    </row>
    <row r="12" spans="1:13" ht="16.2">
      <c r="A12" s="49"/>
      <c r="B12" s="46"/>
      <c r="C12" s="3"/>
      <c r="D12" s="5" t="s">
        <v>52</v>
      </c>
      <c r="E12" s="3"/>
      <c r="F12" s="3"/>
      <c r="G12" s="3"/>
      <c r="H12" s="3"/>
      <c r="I12" s="3"/>
      <c r="J12" s="3"/>
      <c r="K12" s="3"/>
      <c r="L12" s="3"/>
      <c r="M12" s="44"/>
    </row>
    <row r="13" spans="1:13" ht="15.6">
      <c r="A13" s="51" t="s">
        <v>4</v>
      </c>
      <c r="B13" s="47" t="s">
        <v>55</v>
      </c>
      <c r="C13" s="3"/>
      <c r="D13" s="3"/>
      <c r="E13" s="3"/>
      <c r="F13" s="3"/>
      <c r="G13" s="3"/>
      <c r="H13" s="3"/>
      <c r="I13" s="3"/>
      <c r="J13" s="3"/>
      <c r="K13" s="3"/>
      <c r="L13" s="3"/>
      <c r="M13" s="44"/>
    </row>
    <row r="14" spans="1:13" ht="15.6">
      <c r="A14" s="51"/>
      <c r="B14" s="50" t="s">
        <v>54</v>
      </c>
      <c r="C14" s="3"/>
      <c r="D14" s="3"/>
      <c r="E14" s="3"/>
      <c r="F14" s="3"/>
      <c r="G14" s="3"/>
      <c r="H14" s="3"/>
      <c r="I14" s="3"/>
      <c r="J14" s="3"/>
      <c r="K14" s="3"/>
      <c r="L14" s="3"/>
      <c r="M14" s="44"/>
    </row>
    <row r="15" spans="1:13" ht="16.2">
      <c r="A15" s="49"/>
      <c r="B15" s="46"/>
      <c r="C15" s="3"/>
      <c r="D15" s="5" t="s">
        <v>52</v>
      </c>
      <c r="E15" s="3"/>
      <c r="F15" s="3"/>
      <c r="G15" s="3"/>
      <c r="H15" s="3"/>
      <c r="I15" s="3"/>
      <c r="J15" s="3"/>
      <c r="K15" s="3"/>
      <c r="L15" s="3"/>
      <c r="M15" s="44"/>
    </row>
    <row r="16" spans="1:13" ht="15.6">
      <c r="A16" s="48" t="s">
        <v>48</v>
      </c>
      <c r="B16" s="47" t="s">
        <v>53</v>
      </c>
      <c r="C16" s="3"/>
      <c r="D16" s="3"/>
      <c r="E16" s="3"/>
      <c r="F16" s="3"/>
      <c r="G16" s="3"/>
      <c r="H16" s="3"/>
      <c r="I16" s="3"/>
      <c r="J16" s="3"/>
      <c r="K16" s="3"/>
      <c r="L16" s="3"/>
      <c r="M16" s="44"/>
    </row>
    <row r="17" spans="1:13" ht="16.2">
      <c r="A17" s="46"/>
      <c r="B17" s="3"/>
      <c r="C17" s="3"/>
      <c r="D17" s="5" t="s">
        <v>52</v>
      </c>
      <c r="E17" s="3"/>
      <c r="F17" s="3"/>
      <c r="G17" s="3"/>
      <c r="H17" s="3"/>
      <c r="I17" s="3"/>
      <c r="J17" s="3"/>
      <c r="K17" s="3"/>
      <c r="L17" s="3"/>
      <c r="M17" s="44"/>
    </row>
    <row r="18" spans="1:13" ht="16.2">
      <c r="A18" s="46"/>
      <c r="B18" s="3"/>
      <c r="C18" s="3"/>
      <c r="D18" s="5"/>
      <c r="E18" s="3"/>
      <c r="F18" s="3"/>
      <c r="G18" s="3"/>
      <c r="H18" s="3"/>
      <c r="I18" s="3"/>
      <c r="J18" s="3"/>
      <c r="K18" s="3"/>
      <c r="L18" s="3"/>
      <c r="M18" s="44"/>
    </row>
    <row r="19" spans="1:13" ht="15.6">
      <c r="A19" s="4" t="s">
        <v>51</v>
      </c>
      <c r="B19" s="45"/>
      <c r="C19" s="45"/>
      <c r="D19" s="45"/>
      <c r="E19" s="45"/>
      <c r="F19" s="45"/>
      <c r="G19" s="45"/>
      <c r="H19" s="45"/>
      <c r="I19" s="45"/>
      <c r="J19" s="45"/>
      <c r="K19" s="45"/>
      <c r="L19" s="45"/>
      <c r="M19" s="44"/>
    </row>
    <row r="20" spans="1:13" ht="15.6">
      <c r="A20" s="1" t="s">
        <v>50</v>
      </c>
      <c r="B20" s="1"/>
      <c r="C20" s="1"/>
      <c r="D20" s="1"/>
      <c r="E20" s="1"/>
      <c r="F20" s="1"/>
      <c r="G20" s="1"/>
      <c r="H20" s="1"/>
      <c r="I20" s="1"/>
      <c r="J20" s="1"/>
    </row>
    <row r="21" spans="1:13" ht="15.6">
      <c r="A21" s="1"/>
      <c r="B21" s="1"/>
      <c r="C21" s="1"/>
      <c r="D21" s="1"/>
      <c r="E21" s="1"/>
      <c r="F21" s="1"/>
      <c r="G21" s="1"/>
      <c r="H21" s="1"/>
      <c r="I21" s="1"/>
      <c r="J21" s="1"/>
    </row>
    <row r="22" spans="1:13" ht="15.6">
      <c r="A22" s="1"/>
      <c r="B22" s="1"/>
      <c r="C22" s="1656" t="s">
        <v>49</v>
      </c>
      <c r="D22" s="1656"/>
      <c r="E22" s="1656"/>
      <c r="F22" s="1656"/>
      <c r="G22" s="1656"/>
      <c r="H22" s="1656"/>
      <c r="I22" s="1656"/>
      <c r="J22" s="43" t="s">
        <v>48</v>
      </c>
    </row>
    <row r="23" spans="1:13" ht="31.2">
      <c r="A23" s="1"/>
      <c r="B23" s="42" t="s">
        <v>47</v>
      </c>
      <c r="C23" s="41">
        <v>1</v>
      </c>
      <c r="D23" s="41">
        <v>2</v>
      </c>
      <c r="E23" s="41">
        <v>3</v>
      </c>
      <c r="F23" s="41">
        <v>4</v>
      </c>
      <c r="G23" s="41">
        <v>5</v>
      </c>
      <c r="H23" s="41">
        <v>6</v>
      </c>
      <c r="I23" s="41">
        <v>7</v>
      </c>
      <c r="J23" s="40" t="s">
        <v>46</v>
      </c>
    </row>
    <row r="24" spans="1:13" ht="15.6">
      <c r="A24" s="1"/>
      <c r="B24" s="36">
        <v>1</v>
      </c>
      <c r="C24" s="35">
        <v>5012</v>
      </c>
      <c r="D24" s="35">
        <v>8269</v>
      </c>
      <c r="E24" s="35">
        <v>10907</v>
      </c>
      <c r="F24" s="35">
        <v>11805</v>
      </c>
      <c r="G24" s="35">
        <v>13539</v>
      </c>
      <c r="H24" s="35">
        <v>16181</v>
      </c>
      <c r="I24" s="35">
        <v>18009</v>
      </c>
      <c r="J24" s="32">
        <v>0</v>
      </c>
    </row>
    <row r="25" spans="1:13" ht="15.6">
      <c r="A25" s="1"/>
      <c r="B25" s="36">
        <v>2</v>
      </c>
      <c r="C25" s="35">
        <v>106</v>
      </c>
      <c r="D25" s="35">
        <v>4285</v>
      </c>
      <c r="E25" s="35">
        <v>5396</v>
      </c>
      <c r="F25" s="35">
        <v>10666</v>
      </c>
      <c r="G25" s="35">
        <v>13782</v>
      </c>
      <c r="H25" s="35">
        <v>15599</v>
      </c>
      <c r="I25" s="33">
        <f t="shared" ref="I25:I30" si="0">H25*H$39</f>
        <v>17361.250293554171</v>
      </c>
      <c r="J25" s="32">
        <v>559</v>
      </c>
    </row>
    <row r="26" spans="1:13" ht="15.6">
      <c r="A26" s="1"/>
      <c r="B26" s="36">
        <v>3</v>
      </c>
      <c r="C26" s="35">
        <v>3410</v>
      </c>
      <c r="D26" s="35">
        <v>8992</v>
      </c>
      <c r="E26" s="35">
        <v>13873</v>
      </c>
      <c r="F26" s="35">
        <v>16141</v>
      </c>
      <c r="G26" s="35">
        <v>18735</v>
      </c>
      <c r="H26" s="33">
        <f>G26*G$39</f>
        <v>21792.697924673328</v>
      </c>
      <c r="I26" s="33">
        <f t="shared" si="0"/>
        <v>24254.66268620246</v>
      </c>
      <c r="J26" s="38">
        <f>(I26^2*(G40/G39^2*(1/G26+1/(G24+G25))+H40/H39^2*(1/H26+1/H24)))^0.5</f>
        <v>1261.9768827159153</v>
      </c>
    </row>
    <row r="27" spans="1:13" ht="15.6">
      <c r="A27" s="39" t="s">
        <v>4</v>
      </c>
      <c r="B27" s="36">
        <v>4</v>
      </c>
      <c r="C27" s="35">
        <v>5655</v>
      </c>
      <c r="D27" s="35">
        <v>11555</v>
      </c>
      <c r="E27" s="35">
        <v>15766</v>
      </c>
      <c r="F27" s="35">
        <v>21266</v>
      </c>
      <c r="G27" s="33">
        <f>F27*F$39</f>
        <v>25365.868020304566</v>
      </c>
      <c r="H27" s="33">
        <f>G27*G$39</f>
        <v>29505.775252929216</v>
      </c>
      <c r="I27" s="33">
        <f t="shared" si="0"/>
        <v>32839.101818799973</v>
      </c>
      <c r="J27" s="38">
        <f>(I27^2*(F40/F39^2*(1/F27+1/(F24+F25+F26))+G40/G39^2*(1/G27+1/(G24+G25))+H40/H39^2*(1/H27+1/H24)))^0.5</f>
        <v>2562.1759985869767</v>
      </c>
    </row>
    <row r="28" spans="1:13" ht="15.6">
      <c r="A28" s="37"/>
      <c r="B28" s="36">
        <v>5</v>
      </c>
      <c r="C28" s="35">
        <v>1092</v>
      </c>
      <c r="D28" s="35">
        <v>9565</v>
      </c>
      <c r="E28" s="35">
        <v>15836</v>
      </c>
      <c r="F28" s="33">
        <f>E28*E$39</f>
        <v>20639.676287492926</v>
      </c>
      <c r="G28" s="33">
        <f>F28*F$39</f>
        <v>24618.795480596036</v>
      </c>
      <c r="H28" s="33">
        <f>G28*G$39</f>
        <v>28636.774655881632</v>
      </c>
      <c r="I28" s="33">
        <f t="shared" si="0"/>
        <v>31871.928482650786</v>
      </c>
      <c r="J28" s="32">
        <v>7865</v>
      </c>
    </row>
    <row r="29" spans="1:13" ht="15.6">
      <c r="A29" s="1"/>
      <c r="B29" s="36">
        <v>6</v>
      </c>
      <c r="C29" s="35">
        <v>1513</v>
      </c>
      <c r="D29" s="35">
        <v>6445</v>
      </c>
      <c r="E29" s="33">
        <f>D29*D$39</f>
        <v>9332.0022969108886</v>
      </c>
      <c r="F29" s="33">
        <f>E29*E$39</f>
        <v>12162.762472997043</v>
      </c>
      <c r="G29" s="33">
        <f>F29*F$39</f>
        <v>14507.619093969537</v>
      </c>
      <c r="H29" s="33">
        <f>G29*G$39</f>
        <v>16875.37552821463</v>
      </c>
      <c r="I29" s="33">
        <f t="shared" si="0"/>
        <v>18781.820523306182</v>
      </c>
      <c r="J29" s="32">
        <v>6234</v>
      </c>
    </row>
    <row r="30" spans="1:13" ht="15.6">
      <c r="A30" s="1"/>
      <c r="B30" s="36">
        <v>7</v>
      </c>
      <c r="C30" s="35">
        <v>557</v>
      </c>
      <c r="D30" s="34">
        <v>1629</v>
      </c>
      <c r="E30" s="33">
        <f>D30*D$39</f>
        <v>2358.7015890873295</v>
      </c>
      <c r="F30" s="33">
        <f>E30*E$39</f>
        <v>3074.1877530662819</v>
      </c>
      <c r="G30" s="33">
        <f>F30*F$39</f>
        <v>3666.8598144416419</v>
      </c>
      <c r="H30" s="33">
        <f>G30*G$39</f>
        <v>4265.3198968908673</v>
      </c>
      <c r="I30" s="33">
        <f t="shared" si="0"/>
        <v>4747.181634207258</v>
      </c>
      <c r="J30" s="32">
        <v>14344</v>
      </c>
    </row>
    <row r="31" spans="1:13" ht="15.6">
      <c r="A31" s="1"/>
      <c r="B31" s="1"/>
      <c r="C31" s="1656" t="s">
        <v>45</v>
      </c>
      <c r="D31" s="1656"/>
      <c r="E31" s="1656"/>
      <c r="F31" s="1656"/>
      <c r="G31" s="1656"/>
      <c r="H31" s="1656"/>
      <c r="I31" s="1656"/>
      <c r="J31" s="1"/>
    </row>
    <row r="32" spans="1:13" ht="15.6">
      <c r="A32" s="1"/>
      <c r="B32" s="29">
        <v>1</v>
      </c>
      <c r="C32" s="28">
        <v>1.6498403830806065</v>
      </c>
      <c r="D32" s="30">
        <f>E24/D24</f>
        <v>1.3190228564518081</v>
      </c>
      <c r="E32" s="30">
        <f>F24/E24</f>
        <v>1.0823324470523517</v>
      </c>
      <c r="F32" s="30">
        <f>G24/F24</f>
        <v>1.1468869123252858</v>
      </c>
      <c r="G32" s="30">
        <f>H24/G24</f>
        <v>1.1951399660240787</v>
      </c>
      <c r="H32" s="30">
        <f>I24/H24</f>
        <v>1.1129720042024598</v>
      </c>
      <c r="I32" s="1"/>
      <c r="J32" s="1"/>
    </row>
    <row r="33" spans="1:10" ht="15.6">
      <c r="A33" s="1"/>
      <c r="B33" s="29">
        <v>2</v>
      </c>
      <c r="C33" s="28">
        <v>40.424528301886795</v>
      </c>
      <c r="D33" s="30">
        <f>E25/D25</f>
        <v>1.2592765460910151</v>
      </c>
      <c r="E33" s="30">
        <f>F25/E25</f>
        <v>1.9766493699036323</v>
      </c>
      <c r="F33" s="30">
        <f>G25/F25</f>
        <v>1.2921432589536845</v>
      </c>
      <c r="G33" s="30">
        <f>H25/G25</f>
        <v>1.1318386300972283</v>
      </c>
      <c r="H33" s="9"/>
      <c r="I33" s="1"/>
      <c r="J33" s="1"/>
    </row>
    <row r="34" spans="1:10" ht="15.6">
      <c r="A34" s="1"/>
      <c r="B34" s="29">
        <v>3</v>
      </c>
      <c r="C34" s="28">
        <v>2.6369501466275658</v>
      </c>
      <c r="D34" s="30">
        <f>E26/D26</f>
        <v>1.5428158362989324</v>
      </c>
      <c r="E34" s="30">
        <f>F26/E26</f>
        <v>1.1634830245801198</v>
      </c>
      <c r="F34" s="30">
        <f>G26/F26</f>
        <v>1.1607087541044545</v>
      </c>
      <c r="G34" s="9"/>
      <c r="H34" s="9"/>
      <c r="I34" s="1"/>
      <c r="J34" s="1"/>
    </row>
    <row r="35" spans="1:10" ht="15.6">
      <c r="A35" s="31" t="s">
        <v>9</v>
      </c>
      <c r="B35" s="29">
        <v>4</v>
      </c>
      <c r="C35" s="28">
        <v>2.0433244916003535</v>
      </c>
      <c r="D35" s="30">
        <f>E27/D27</f>
        <v>1.3644309822587624</v>
      </c>
      <c r="E35" s="30">
        <f>F27/E27</f>
        <v>1.3488519599137385</v>
      </c>
      <c r="F35" s="9"/>
      <c r="G35" s="9"/>
      <c r="H35" s="9"/>
      <c r="I35" s="1"/>
      <c r="J35" s="1"/>
    </row>
    <row r="36" spans="1:10" ht="15.6">
      <c r="A36" s="1"/>
      <c r="B36" s="29">
        <v>5</v>
      </c>
      <c r="C36" s="28">
        <v>8.7591575091575091</v>
      </c>
      <c r="D36" s="30">
        <f>E28/D28</f>
        <v>1.6556194458964977</v>
      </c>
      <c r="E36" s="9"/>
      <c r="F36" s="9"/>
      <c r="G36" s="9"/>
      <c r="H36" s="9"/>
      <c r="I36" s="1"/>
      <c r="J36" s="1"/>
    </row>
    <row r="37" spans="1:10" ht="15.6">
      <c r="A37" s="1"/>
      <c r="B37" s="29">
        <v>6</v>
      </c>
      <c r="C37" s="28">
        <v>4.2597488433575679</v>
      </c>
      <c r="D37" s="9"/>
      <c r="E37" s="9"/>
      <c r="F37" s="9"/>
      <c r="G37" s="9"/>
      <c r="H37" s="9"/>
      <c r="I37" s="1"/>
      <c r="J37" s="1"/>
    </row>
    <row r="38" spans="1:10" ht="15.6">
      <c r="A38" s="1"/>
      <c r="B38" s="1"/>
      <c r="C38" s="1"/>
      <c r="D38" s="1"/>
      <c r="E38" s="1"/>
      <c r="F38" s="1"/>
      <c r="G38" s="1"/>
      <c r="H38" s="1"/>
      <c r="I38" s="1"/>
      <c r="J38" s="1"/>
    </row>
    <row r="39" spans="1:10" ht="18">
      <c r="A39" s="27" t="s">
        <v>7</v>
      </c>
      <c r="B39" s="25" t="s">
        <v>44</v>
      </c>
      <c r="C39" s="26">
        <v>2.92536</v>
      </c>
      <c r="D39" s="26">
        <f>(E24+E25+E26+E27+E28)/(D24+D25+D26+D27+D28)</f>
        <v>1.447944499132799</v>
      </c>
      <c r="E39" s="26">
        <f>(F24+F25+F26+F27)/(E24+E25+E26+E27)</f>
        <v>1.3033389926428975</v>
      </c>
      <c r="F39" s="26">
        <f>(G24+G25+G26)/(F24+F25+F26)</f>
        <v>1.192789806277841</v>
      </c>
      <c r="G39" s="26">
        <f>(H24+H25)/(G24+G25)</f>
        <v>1.1632077888803485</v>
      </c>
      <c r="H39" s="26">
        <f>I24/H24</f>
        <v>1.1129720042024598</v>
      </c>
      <c r="I39" s="1"/>
      <c r="J39" s="1"/>
    </row>
    <row r="40" spans="1:10" ht="19.8">
      <c r="A40" s="1"/>
      <c r="B40" s="25" t="s">
        <v>43</v>
      </c>
      <c r="C40" s="24">
        <v>40350.321000000004</v>
      </c>
      <c r="D40" s="24">
        <f>(D24*(D32-D39)^2+D25*(D33-D39)^2+D26*(D34-D39)^2+D27*(D35-D39)^2+D28*(D36-D39)^2)/4</f>
        <v>216.00394477115202</v>
      </c>
      <c r="E40" s="24">
        <f>(E24*(E32-E39)^2+E25*(E33-E39)^2+E26*(E34-E39)^2+E27*(E35-E39)^2)/3</f>
        <v>1094.3365982156686</v>
      </c>
      <c r="F40" s="24">
        <f>(F24*(F32-F39)^2+F25*(F33-F39)^2+F26*(F34-F39)^2)/2</f>
        <v>73.385745543216402</v>
      </c>
      <c r="G40" s="24">
        <f>(G24*(G32-G39)^2+G25*(G33-G39)^2)/1</f>
        <v>27.367050504805714</v>
      </c>
      <c r="H40" s="24">
        <f>G40^2/F40</f>
        <v>10.205734748467352</v>
      </c>
      <c r="I40" s="1"/>
      <c r="J40" s="1"/>
    </row>
    <row r="41" spans="1:10" ht="15.6">
      <c r="A41" s="1"/>
      <c r="B41" s="1"/>
      <c r="C41" s="1"/>
      <c r="D41" s="1"/>
      <c r="E41" s="1"/>
      <c r="F41" s="1"/>
      <c r="G41" s="1"/>
      <c r="H41" s="1"/>
      <c r="I41" s="1"/>
      <c r="J41" s="1"/>
    </row>
    <row r="42" spans="1:10" ht="15.6">
      <c r="A42" s="1"/>
      <c r="B42" s="1"/>
      <c r="C42" s="1"/>
      <c r="D42" s="1"/>
      <c r="E42" s="1"/>
      <c r="F42" s="1"/>
      <c r="G42" s="1"/>
      <c r="H42" s="1"/>
      <c r="I42" s="1"/>
      <c r="J42" s="1"/>
    </row>
    <row r="43" spans="1:10" ht="15.6">
      <c r="A43" s="1"/>
      <c r="B43" s="1"/>
      <c r="C43" s="1"/>
      <c r="D43" s="1"/>
      <c r="E43" s="1"/>
      <c r="F43" s="1"/>
      <c r="G43" s="1"/>
      <c r="H43" s="1"/>
      <c r="I43" s="1"/>
      <c r="J43" s="1"/>
    </row>
    <row r="44" spans="1:10" ht="15.6">
      <c r="A44" s="1"/>
      <c r="B44" s="1"/>
      <c r="C44" s="1"/>
      <c r="D44" s="1"/>
      <c r="E44" s="1"/>
      <c r="F44" s="1"/>
      <c r="G44" s="1"/>
      <c r="H44" s="1"/>
      <c r="I44" s="1"/>
      <c r="J44" s="1"/>
    </row>
    <row r="45" spans="1:10" ht="15.6">
      <c r="A45" s="1"/>
      <c r="B45" s="1"/>
      <c r="C45" s="1"/>
      <c r="D45" s="1"/>
      <c r="E45" s="1"/>
      <c r="F45" s="1"/>
      <c r="G45" s="1"/>
      <c r="H45" s="1"/>
      <c r="I45" s="1"/>
      <c r="J45" s="1"/>
    </row>
    <row r="46" spans="1:10" ht="15.6">
      <c r="A46" s="1"/>
      <c r="B46" s="1"/>
      <c r="C46" s="1"/>
      <c r="D46" s="1"/>
      <c r="E46" s="1"/>
      <c r="F46" s="1"/>
      <c r="G46" s="1"/>
      <c r="H46" s="1"/>
      <c r="I46" s="1"/>
      <c r="J46" s="1"/>
    </row>
    <row r="47" spans="1:10" ht="15.6">
      <c r="A47" s="1"/>
      <c r="B47" s="1"/>
      <c r="C47" s="1"/>
      <c r="D47" s="1"/>
      <c r="E47" s="1"/>
      <c r="F47" s="1"/>
      <c r="G47" s="1"/>
      <c r="H47" s="1"/>
      <c r="I47" s="1"/>
      <c r="J47" s="1"/>
    </row>
    <row r="48" spans="1:10" ht="15.6">
      <c r="A48" s="1"/>
      <c r="B48" s="1"/>
      <c r="C48" s="1"/>
      <c r="D48" s="1"/>
      <c r="E48" s="1"/>
      <c r="F48" s="1"/>
      <c r="G48" s="1"/>
      <c r="H48" s="1"/>
      <c r="I48" s="1"/>
      <c r="J48" s="1"/>
    </row>
    <row r="49" spans="1:10" ht="15.6">
      <c r="A49" s="1"/>
      <c r="B49" s="1"/>
      <c r="C49" s="1"/>
      <c r="D49" s="1"/>
      <c r="E49" s="1"/>
      <c r="F49" s="1"/>
      <c r="G49" s="1"/>
      <c r="H49" s="1"/>
      <c r="I49" s="1"/>
      <c r="J49" s="1"/>
    </row>
    <row r="50" spans="1:10" ht="15.6">
      <c r="A50" s="1"/>
      <c r="B50" s="1"/>
      <c r="C50" s="1"/>
      <c r="D50" s="1"/>
      <c r="E50" s="1"/>
      <c r="F50" s="1"/>
      <c r="G50" s="1"/>
      <c r="H50" s="1"/>
      <c r="I50" s="1"/>
      <c r="J50" s="1"/>
    </row>
    <row r="51" spans="1:10" ht="15.6">
      <c r="A51" s="1"/>
      <c r="B51" s="1"/>
      <c r="C51" s="1"/>
      <c r="D51" s="1"/>
      <c r="E51" s="1"/>
      <c r="F51" s="1"/>
      <c r="G51" s="1"/>
      <c r="H51" s="1"/>
      <c r="I51" s="1"/>
      <c r="J51" s="1"/>
    </row>
    <row r="52" spans="1:10" ht="15.6">
      <c r="A52" s="1"/>
      <c r="B52" s="1"/>
      <c r="C52" s="1"/>
      <c r="D52" s="1"/>
      <c r="E52" s="1"/>
      <c r="F52" s="1"/>
      <c r="G52" s="1"/>
      <c r="H52" s="1"/>
      <c r="I52" s="1"/>
      <c r="J52" s="1"/>
    </row>
    <row r="53" spans="1:10" ht="15.6">
      <c r="A53" s="1"/>
      <c r="B53" s="1"/>
      <c r="C53" s="1"/>
      <c r="D53" s="1"/>
      <c r="E53" s="1"/>
      <c r="F53" s="1"/>
      <c r="G53" s="1"/>
      <c r="H53" s="1"/>
      <c r="I53" s="1"/>
      <c r="J53" s="1"/>
    </row>
    <row r="54" spans="1:10" ht="15.6">
      <c r="A54" s="1"/>
      <c r="B54" s="1"/>
      <c r="C54" s="1"/>
      <c r="D54" s="1"/>
      <c r="E54" s="1"/>
      <c r="F54" s="1"/>
      <c r="G54" s="1"/>
      <c r="H54" s="1"/>
      <c r="I54" s="1"/>
      <c r="J54" s="1"/>
    </row>
    <row r="55" spans="1:10" ht="15.6">
      <c r="A55" s="1"/>
      <c r="B55" s="1"/>
      <c r="C55" s="1"/>
      <c r="D55" s="1"/>
      <c r="E55" s="1"/>
      <c r="F55" s="1"/>
      <c r="G55" s="1"/>
      <c r="H55" s="1"/>
      <c r="I55" s="1"/>
      <c r="J55" s="1"/>
    </row>
    <row r="56" spans="1:10" ht="15.6">
      <c r="A56" s="1"/>
      <c r="B56" s="1"/>
      <c r="C56" s="1"/>
      <c r="D56" s="1"/>
      <c r="E56" s="1"/>
      <c r="F56" s="1"/>
      <c r="G56" s="1"/>
      <c r="H56" s="1"/>
      <c r="I56" s="1"/>
      <c r="J56" s="1"/>
    </row>
    <row r="57" spans="1:10" ht="15.6">
      <c r="A57" s="1"/>
      <c r="B57" s="1"/>
      <c r="C57" s="1"/>
      <c r="D57" s="1"/>
      <c r="E57" s="1"/>
      <c r="F57" s="1"/>
      <c r="G57" s="1"/>
      <c r="H57" s="1"/>
      <c r="I57" s="1"/>
      <c r="J57" s="1"/>
    </row>
    <row r="58" spans="1:10" ht="15.6">
      <c r="A58" s="1"/>
      <c r="B58" s="1"/>
      <c r="C58" s="1"/>
      <c r="D58" s="1"/>
      <c r="E58" s="1"/>
      <c r="F58" s="1"/>
      <c r="G58" s="1"/>
      <c r="H58" s="1"/>
      <c r="I58" s="1"/>
      <c r="J58" s="1"/>
    </row>
    <row r="59" spans="1:10" ht="15.6">
      <c r="A59" s="1"/>
      <c r="B59" s="1"/>
      <c r="C59" s="1"/>
      <c r="D59" s="1"/>
      <c r="E59" s="1"/>
      <c r="F59" s="1"/>
      <c r="G59" s="1"/>
      <c r="H59" s="1"/>
      <c r="I59" s="1"/>
      <c r="J59" s="1"/>
    </row>
    <row r="60" spans="1:10" ht="15.6">
      <c r="A60" s="1"/>
      <c r="B60" s="1"/>
      <c r="C60" s="1"/>
      <c r="D60" s="1"/>
      <c r="E60" s="1"/>
      <c r="F60" s="1"/>
      <c r="G60" s="1"/>
      <c r="H60" s="1"/>
      <c r="I60" s="1"/>
      <c r="J60" s="1"/>
    </row>
    <row r="61" spans="1:10" ht="15.6">
      <c r="A61" s="1"/>
      <c r="B61" s="1"/>
      <c r="C61" s="1"/>
      <c r="D61" s="1"/>
      <c r="E61" s="1"/>
      <c r="F61" s="1"/>
      <c r="G61" s="1"/>
      <c r="H61" s="1"/>
      <c r="I61" s="1"/>
      <c r="J61" s="1"/>
    </row>
    <row r="62" spans="1:10" ht="15.6">
      <c r="A62" s="1"/>
      <c r="B62" s="1"/>
      <c r="C62" s="1"/>
      <c r="D62" s="1"/>
      <c r="E62" s="1"/>
      <c r="F62" s="1"/>
      <c r="G62" s="1"/>
      <c r="H62" s="1"/>
      <c r="I62" s="1"/>
      <c r="J62" s="1"/>
    </row>
    <row r="63" spans="1:10" ht="15.6">
      <c r="A63" s="1"/>
      <c r="B63" s="1"/>
      <c r="C63" s="1"/>
      <c r="D63" s="1"/>
      <c r="E63" s="1"/>
      <c r="F63" s="1"/>
      <c r="G63" s="1"/>
      <c r="H63" s="1"/>
      <c r="I63" s="1"/>
      <c r="J63" s="1"/>
    </row>
    <row r="64" spans="1:10" ht="15.6">
      <c r="A64" s="1"/>
      <c r="B64" s="1"/>
      <c r="C64" s="1"/>
      <c r="D64" s="1"/>
      <c r="E64" s="1"/>
      <c r="F64" s="1"/>
      <c r="G64" s="1"/>
      <c r="H64" s="1"/>
      <c r="I64" s="1"/>
      <c r="J64" s="1"/>
    </row>
    <row r="65" spans="1:10" ht="15.6">
      <c r="A65" s="1"/>
      <c r="B65" s="1"/>
      <c r="C65" s="1"/>
      <c r="D65" s="1"/>
      <c r="E65" s="1"/>
      <c r="F65" s="1"/>
      <c r="G65" s="1"/>
      <c r="H65" s="1"/>
      <c r="I65" s="1"/>
      <c r="J65" s="1"/>
    </row>
    <row r="66" spans="1:10" ht="15.6">
      <c r="A66" s="1"/>
      <c r="B66" s="1"/>
      <c r="C66" s="1"/>
      <c r="D66" s="1"/>
      <c r="E66" s="1"/>
      <c r="F66" s="1"/>
      <c r="G66" s="1"/>
      <c r="H66" s="1"/>
      <c r="I66" s="1"/>
      <c r="J66" s="1"/>
    </row>
    <row r="67" spans="1:10" ht="15.6">
      <c r="A67" s="1"/>
      <c r="B67" s="1"/>
      <c r="C67" s="1"/>
      <c r="D67" s="1"/>
      <c r="E67" s="1"/>
      <c r="F67" s="1"/>
      <c r="G67" s="1"/>
      <c r="H67" s="1"/>
      <c r="I67" s="1"/>
      <c r="J67" s="1"/>
    </row>
    <row r="68" spans="1:10" ht="15.6">
      <c r="A68" s="1"/>
      <c r="B68" s="1"/>
      <c r="C68" s="1"/>
      <c r="D68" s="1"/>
      <c r="E68" s="1"/>
      <c r="F68" s="1"/>
      <c r="G68" s="1"/>
      <c r="H68" s="1"/>
      <c r="I68" s="1"/>
      <c r="J68" s="1"/>
    </row>
    <row r="69" spans="1:10" ht="15.6">
      <c r="A69" s="1"/>
      <c r="B69" s="1"/>
      <c r="C69" s="1"/>
      <c r="D69" s="1"/>
      <c r="E69" s="1"/>
      <c r="F69" s="1"/>
      <c r="G69" s="1"/>
      <c r="H69" s="1"/>
      <c r="I69" s="1"/>
      <c r="J69" s="1"/>
    </row>
    <row r="70" spans="1:10" ht="15.6">
      <c r="A70" s="1"/>
      <c r="B70" s="1"/>
      <c r="C70" s="1"/>
      <c r="D70" s="1"/>
      <c r="E70" s="1"/>
      <c r="F70" s="1"/>
      <c r="G70" s="1"/>
      <c r="H70" s="1"/>
      <c r="I70" s="1"/>
      <c r="J70" s="1"/>
    </row>
    <row r="71" spans="1:10" ht="15.6">
      <c r="A71" s="1"/>
      <c r="B71" s="1"/>
      <c r="C71" s="1"/>
      <c r="D71" s="1"/>
      <c r="E71" s="1"/>
      <c r="F71" s="1"/>
      <c r="G71" s="1"/>
      <c r="H71" s="1"/>
      <c r="I71" s="1"/>
      <c r="J71" s="1"/>
    </row>
    <row r="72" spans="1:10" ht="15.6">
      <c r="A72" s="1"/>
      <c r="B72" s="1"/>
      <c r="C72" s="1"/>
      <c r="D72" s="1"/>
      <c r="E72" s="1"/>
      <c r="F72" s="1"/>
      <c r="G72" s="1"/>
      <c r="H72" s="1"/>
      <c r="I72" s="1"/>
      <c r="J72" s="1"/>
    </row>
    <row r="73" spans="1:10" ht="15.6">
      <c r="A73" s="1"/>
      <c r="B73" s="1"/>
      <c r="C73" s="1"/>
      <c r="D73" s="1"/>
      <c r="E73" s="1"/>
      <c r="F73" s="1"/>
      <c r="G73" s="1"/>
      <c r="H73" s="1"/>
      <c r="I73" s="1"/>
      <c r="J73" s="1"/>
    </row>
    <row r="74" spans="1:10" ht="15.6">
      <c r="A74" s="1"/>
      <c r="B74" s="1"/>
      <c r="C74" s="1"/>
      <c r="D74" s="1"/>
      <c r="E74" s="1"/>
      <c r="F74" s="1"/>
      <c r="G74" s="1"/>
      <c r="H74" s="1"/>
      <c r="I74" s="1"/>
      <c r="J74" s="1"/>
    </row>
    <row r="75" spans="1:10" ht="15.6">
      <c r="A75" s="1"/>
      <c r="B75" s="1"/>
      <c r="C75" s="1"/>
      <c r="D75" s="1"/>
      <c r="E75" s="1"/>
      <c r="F75" s="1"/>
      <c r="G75" s="1"/>
      <c r="H75" s="1"/>
      <c r="I75" s="1"/>
      <c r="J75" s="1"/>
    </row>
    <row r="76" spans="1:10" ht="15.6">
      <c r="A76" s="1"/>
      <c r="B76" s="1"/>
      <c r="C76" s="1"/>
      <c r="D76" s="1"/>
      <c r="E76" s="1"/>
      <c r="F76" s="1"/>
      <c r="G76" s="1"/>
      <c r="H76" s="1"/>
      <c r="I76" s="1"/>
      <c r="J76" s="1"/>
    </row>
    <row r="77" spans="1:10" ht="15.6">
      <c r="A77" s="1"/>
      <c r="B77" s="1"/>
      <c r="C77" s="1"/>
      <c r="D77" s="1"/>
      <c r="E77" s="1"/>
      <c r="F77" s="1"/>
      <c r="G77" s="1"/>
      <c r="H77" s="1"/>
      <c r="I77" s="1"/>
      <c r="J77" s="1"/>
    </row>
    <row r="78" spans="1:10" ht="15.6">
      <c r="A78" s="1"/>
      <c r="B78" s="1"/>
      <c r="C78" s="1"/>
      <c r="D78" s="1"/>
      <c r="E78" s="1"/>
      <c r="F78" s="1"/>
      <c r="G78" s="1"/>
      <c r="H78" s="1"/>
      <c r="I78" s="1"/>
      <c r="J78" s="1"/>
    </row>
    <row r="79" spans="1:10" ht="15.6">
      <c r="A79" s="1"/>
      <c r="B79" s="1"/>
      <c r="C79" s="1"/>
      <c r="D79" s="1"/>
      <c r="E79" s="1"/>
      <c r="F79" s="1"/>
      <c r="G79" s="1"/>
      <c r="H79" s="1"/>
      <c r="I79" s="1"/>
      <c r="J79" s="1"/>
    </row>
    <row r="80" spans="1:10" ht="15.6">
      <c r="A80" s="1"/>
      <c r="B80" s="1"/>
      <c r="C80" s="1"/>
      <c r="D80" s="1"/>
      <c r="E80" s="1"/>
      <c r="F80" s="1"/>
      <c r="G80" s="1"/>
      <c r="H80" s="1"/>
      <c r="I80" s="1"/>
      <c r="J80" s="1"/>
    </row>
    <row r="81" spans="1:10" ht="15.6">
      <c r="A81" s="1"/>
      <c r="B81" s="1"/>
      <c r="C81" s="1"/>
      <c r="D81" s="1"/>
      <c r="E81" s="1"/>
      <c r="F81" s="1"/>
      <c r="G81" s="1"/>
      <c r="H81" s="1"/>
      <c r="I81" s="1"/>
      <c r="J81" s="1"/>
    </row>
    <row r="82" spans="1:10" ht="15.6">
      <c r="A82" s="1"/>
      <c r="B82" s="1"/>
      <c r="C82" s="1"/>
      <c r="D82" s="1"/>
      <c r="E82" s="1"/>
      <c r="F82" s="1"/>
      <c r="G82" s="1"/>
      <c r="H82" s="1"/>
      <c r="I82" s="1"/>
      <c r="J82" s="1"/>
    </row>
    <row r="83" spans="1:10" ht="15.6">
      <c r="A83" s="1"/>
      <c r="B83" s="1"/>
      <c r="C83" s="1"/>
      <c r="D83" s="1"/>
      <c r="E83" s="1"/>
      <c r="F83" s="1"/>
      <c r="G83" s="1"/>
      <c r="H83" s="1"/>
      <c r="I83" s="1"/>
      <c r="J83" s="1"/>
    </row>
    <row r="84" spans="1:10" ht="15.6">
      <c r="A84" s="1"/>
      <c r="B84" s="1"/>
      <c r="C84" s="1"/>
      <c r="D84" s="1"/>
      <c r="E84" s="1"/>
      <c r="F84" s="1"/>
      <c r="G84" s="1"/>
      <c r="H84" s="1"/>
      <c r="I84" s="1"/>
      <c r="J84" s="1"/>
    </row>
    <row r="85" spans="1:10" ht="15.6">
      <c r="A85" s="1"/>
      <c r="B85" s="1"/>
      <c r="C85" s="1"/>
      <c r="D85" s="1"/>
      <c r="E85" s="1"/>
      <c r="F85" s="1"/>
      <c r="G85" s="1"/>
      <c r="H85" s="1"/>
      <c r="I85" s="1"/>
      <c r="J85" s="1"/>
    </row>
    <row r="86" spans="1:10" ht="15.6">
      <c r="A86" s="1"/>
      <c r="B86" s="1"/>
      <c r="C86" s="1"/>
      <c r="D86" s="1"/>
      <c r="E86" s="1"/>
      <c r="F86" s="1"/>
      <c r="G86" s="1"/>
      <c r="H86" s="1"/>
      <c r="I86" s="1"/>
      <c r="J86" s="1"/>
    </row>
    <row r="87" spans="1:10" ht="15.6">
      <c r="A87" s="1"/>
      <c r="B87" s="1"/>
      <c r="C87" s="1"/>
      <c r="D87" s="1"/>
      <c r="E87" s="1"/>
      <c r="F87" s="1"/>
      <c r="G87" s="1"/>
      <c r="H87" s="1"/>
      <c r="I87" s="1"/>
      <c r="J87" s="1"/>
    </row>
    <row r="88" spans="1:10" ht="15.6">
      <c r="A88" s="1"/>
      <c r="B88" s="1"/>
      <c r="C88" s="1"/>
      <c r="D88" s="1"/>
      <c r="E88" s="1"/>
      <c r="F88" s="1"/>
      <c r="G88" s="1"/>
      <c r="H88" s="1"/>
      <c r="I88" s="1"/>
      <c r="J88" s="1"/>
    </row>
    <row r="89" spans="1:10" ht="15.6">
      <c r="A89" s="1"/>
      <c r="B89" s="1"/>
      <c r="C89" s="1"/>
      <c r="D89" s="1"/>
      <c r="E89" s="1"/>
      <c r="F89" s="1"/>
      <c r="G89" s="1"/>
      <c r="H89" s="1"/>
      <c r="I89" s="1"/>
      <c r="J89" s="1"/>
    </row>
    <row r="90" spans="1:10" ht="15.6">
      <c r="A90" s="1"/>
      <c r="B90" s="1"/>
      <c r="C90" s="1"/>
      <c r="D90" s="1"/>
      <c r="E90" s="1"/>
      <c r="F90" s="1"/>
      <c r="G90" s="1"/>
      <c r="H90" s="1"/>
      <c r="I90" s="1"/>
      <c r="J90" s="1"/>
    </row>
    <row r="91" spans="1:10" ht="15.6">
      <c r="A91" s="1"/>
      <c r="B91" s="1"/>
      <c r="C91" s="1"/>
      <c r="D91" s="1"/>
      <c r="E91" s="1"/>
      <c r="F91" s="1"/>
      <c r="G91" s="1"/>
      <c r="H91" s="1"/>
      <c r="I91" s="1"/>
      <c r="J91" s="1"/>
    </row>
  </sheetData>
  <mergeCells count="4">
    <mergeCell ref="A2:L2"/>
    <mergeCell ref="A4:L4"/>
    <mergeCell ref="C22:I22"/>
    <mergeCell ref="C31:I31"/>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3BB82-746C-403F-927E-F864F35E6883}">
  <dimension ref="A1:R57"/>
  <sheetViews>
    <sheetView zoomScaleNormal="100" workbookViewId="0"/>
  </sheetViews>
  <sheetFormatPr defaultColWidth="8.88671875" defaultRowHeight="15.6"/>
  <cols>
    <col min="1" max="1" width="8.88671875" style="1" customWidth="1"/>
    <col min="2" max="2" width="12.6640625" style="1" customWidth="1"/>
    <col min="3" max="6" width="8.88671875" style="1" customWidth="1"/>
    <col min="7" max="7" width="8.88671875" style="1"/>
    <col min="8" max="8" width="8.88671875" style="1" customWidth="1"/>
    <col min="9" max="16384" width="8.88671875" style="1"/>
  </cols>
  <sheetData>
    <row r="1" spans="1:12" ht="17.399999999999999">
      <c r="A1" s="23" t="s">
        <v>42</v>
      </c>
      <c r="B1" s="22"/>
      <c r="C1" s="22" t="s">
        <v>758</v>
      </c>
      <c r="D1" s="22"/>
      <c r="E1" s="22"/>
      <c r="F1" s="22"/>
      <c r="G1" s="22"/>
      <c r="H1" s="22"/>
      <c r="I1" s="22"/>
      <c r="J1" s="22"/>
      <c r="K1" s="22"/>
      <c r="L1" s="2"/>
    </row>
    <row r="2" spans="1:12">
      <c r="A2" s="22"/>
      <c r="B2" s="22"/>
      <c r="C2" s="22"/>
      <c r="D2" s="22"/>
      <c r="E2" s="22"/>
      <c r="F2" s="22"/>
      <c r="G2" s="22"/>
      <c r="H2" s="22"/>
      <c r="I2" s="22"/>
      <c r="J2" s="22"/>
      <c r="K2" s="22"/>
      <c r="L2" s="2"/>
    </row>
    <row r="3" spans="1:12">
      <c r="A3" s="2"/>
      <c r="B3" s="2"/>
      <c r="C3" s="2"/>
      <c r="D3" s="2"/>
      <c r="E3" s="2"/>
      <c r="F3" s="2"/>
      <c r="G3" s="2"/>
      <c r="H3" s="2"/>
      <c r="I3" s="2"/>
      <c r="J3" s="2"/>
      <c r="K3" s="2"/>
      <c r="L3" s="2"/>
    </row>
    <row r="4" spans="1:12">
      <c r="A4" s="341" t="s">
        <v>667</v>
      </c>
      <c r="B4" s="2"/>
      <c r="C4" s="2"/>
      <c r="D4" s="2"/>
      <c r="E4" s="2"/>
      <c r="F4" s="2"/>
      <c r="G4" s="2"/>
      <c r="H4" s="2"/>
      <c r="I4" s="2"/>
      <c r="J4" s="2"/>
      <c r="K4" s="2"/>
      <c r="L4" s="2"/>
    </row>
    <row r="5" spans="1:12">
      <c r="A5" s="418"/>
      <c r="B5" s="418"/>
      <c r="C5" s="418"/>
      <c r="D5" s="418"/>
      <c r="E5" s="418"/>
      <c r="F5" s="418"/>
      <c r="G5" s="418"/>
      <c r="H5" s="418"/>
      <c r="I5" s="418"/>
      <c r="J5" s="418"/>
      <c r="K5" s="418"/>
      <c r="L5" s="418"/>
    </row>
    <row r="6" spans="1:12">
      <c r="A6" s="22" t="s">
        <v>1222</v>
      </c>
      <c r="B6" s="22"/>
      <c r="C6" s="22"/>
      <c r="D6" s="22"/>
      <c r="E6" s="22"/>
      <c r="F6" s="22"/>
      <c r="G6" s="22"/>
      <c r="H6" s="22"/>
      <c r="I6" s="22"/>
      <c r="J6" s="22"/>
      <c r="K6" s="22"/>
      <c r="L6" s="2"/>
    </row>
    <row r="7" spans="1:12">
      <c r="A7" s="22"/>
      <c r="B7" s="22"/>
      <c r="C7" s="22"/>
      <c r="D7" s="22"/>
      <c r="E7" s="22"/>
      <c r="F7" s="22"/>
      <c r="G7" s="22"/>
      <c r="H7" s="22"/>
      <c r="I7" s="22"/>
      <c r="J7" s="22"/>
      <c r="K7" s="22"/>
      <c r="L7" s="2"/>
    </row>
    <row r="8" spans="1:12" ht="15.6" customHeight="1">
      <c r="A8" s="22"/>
      <c r="B8" s="1696" t="s">
        <v>1170</v>
      </c>
      <c r="C8" s="1697"/>
      <c r="D8" s="1697"/>
      <c r="E8" s="1697"/>
      <c r="F8" s="1697"/>
      <c r="G8" s="1697"/>
      <c r="H8" s="1697"/>
      <c r="I8" s="1697"/>
      <c r="J8" s="1698"/>
      <c r="K8" s="22"/>
      <c r="L8" s="2"/>
    </row>
    <row r="9" spans="1:12" ht="15.6" customHeight="1">
      <c r="A9" s="22"/>
      <c r="B9" s="1752" t="s">
        <v>1221</v>
      </c>
      <c r="C9" s="1696" t="s">
        <v>1220</v>
      </c>
      <c r="D9" s="1697"/>
      <c r="E9" s="1697"/>
      <c r="F9" s="1697"/>
      <c r="G9" s="1697"/>
      <c r="H9" s="1697"/>
      <c r="I9" s="1697"/>
      <c r="J9" s="1698"/>
      <c r="K9" s="22"/>
      <c r="L9" s="2"/>
    </row>
    <row r="10" spans="1:12">
      <c r="A10" s="22"/>
      <c r="B10" s="1753"/>
      <c r="C10" s="334">
        <v>2011</v>
      </c>
      <c r="D10" s="334">
        <v>2012</v>
      </c>
      <c r="E10" s="334">
        <v>2013</v>
      </c>
      <c r="F10" s="334">
        <v>2014</v>
      </c>
      <c r="G10" s="334">
        <v>2015</v>
      </c>
      <c r="H10" s="334">
        <v>2016</v>
      </c>
      <c r="I10" s="334">
        <v>2017</v>
      </c>
      <c r="J10" s="334">
        <v>2018</v>
      </c>
      <c r="K10" s="22"/>
      <c r="L10" s="2"/>
    </row>
    <row r="11" spans="1:12">
      <c r="A11" s="22"/>
      <c r="B11" s="628">
        <v>0</v>
      </c>
      <c r="C11" s="628">
        <v>160</v>
      </c>
      <c r="D11" s="628">
        <v>168</v>
      </c>
      <c r="E11" s="628">
        <v>176</v>
      </c>
      <c r="F11" s="628">
        <v>185</v>
      </c>
      <c r="G11" s="628">
        <v>194</v>
      </c>
      <c r="H11" s="628">
        <v>204</v>
      </c>
      <c r="I11" s="628">
        <v>214</v>
      </c>
      <c r="J11" s="628">
        <v>225</v>
      </c>
      <c r="K11" s="22"/>
      <c r="L11" s="2"/>
    </row>
    <row r="12" spans="1:12">
      <c r="A12" s="22"/>
      <c r="B12" s="628">
        <v>1</v>
      </c>
      <c r="C12" s="628">
        <v>240</v>
      </c>
      <c r="D12" s="628">
        <v>252</v>
      </c>
      <c r="E12" s="628">
        <v>265</v>
      </c>
      <c r="F12" s="628">
        <v>278</v>
      </c>
      <c r="G12" s="628">
        <v>292</v>
      </c>
      <c r="H12" s="628">
        <v>306</v>
      </c>
      <c r="I12" s="628">
        <v>322</v>
      </c>
      <c r="J12" s="628">
        <v>338</v>
      </c>
      <c r="K12" s="22"/>
      <c r="L12" s="2"/>
    </row>
    <row r="13" spans="1:12">
      <c r="A13" s="22"/>
      <c r="B13" s="628">
        <v>2</v>
      </c>
      <c r="C13" s="628">
        <v>240</v>
      </c>
      <c r="D13" s="628">
        <v>252</v>
      </c>
      <c r="E13" s="628">
        <v>265</v>
      </c>
      <c r="F13" s="628">
        <v>278</v>
      </c>
      <c r="G13" s="628">
        <v>292</v>
      </c>
      <c r="H13" s="628">
        <v>306</v>
      </c>
      <c r="I13" s="628">
        <v>322</v>
      </c>
      <c r="J13" s="628">
        <v>338</v>
      </c>
      <c r="K13" s="22"/>
      <c r="L13" s="2"/>
    </row>
    <row r="14" spans="1:12">
      <c r="A14" s="22"/>
      <c r="B14" s="628">
        <v>3</v>
      </c>
      <c r="C14" s="628">
        <v>160</v>
      </c>
      <c r="D14" s="628">
        <v>168</v>
      </c>
      <c r="E14" s="628">
        <v>176</v>
      </c>
      <c r="F14" s="628">
        <v>185</v>
      </c>
      <c r="G14" s="628">
        <v>194</v>
      </c>
      <c r="H14" s="628">
        <v>204</v>
      </c>
      <c r="I14" s="628">
        <v>214</v>
      </c>
      <c r="J14" s="628">
        <v>225</v>
      </c>
      <c r="K14" s="22"/>
      <c r="L14" s="2"/>
    </row>
    <row r="15" spans="1:12">
      <c r="A15" s="22"/>
      <c r="B15" s="22"/>
      <c r="C15" s="22"/>
      <c r="D15" s="22"/>
      <c r="E15" s="22"/>
      <c r="F15" s="22"/>
      <c r="G15" s="22"/>
      <c r="H15" s="22"/>
      <c r="I15" s="22"/>
      <c r="J15" s="22"/>
      <c r="K15" s="22"/>
      <c r="L15" s="2"/>
    </row>
    <row r="16" spans="1:12">
      <c r="A16" s="418"/>
      <c r="B16" s="418"/>
      <c r="C16" s="418"/>
      <c r="D16" s="418"/>
      <c r="E16" s="418"/>
      <c r="F16" s="418"/>
      <c r="G16" s="418"/>
      <c r="H16" s="418"/>
      <c r="I16" s="418"/>
      <c r="J16" s="418"/>
      <c r="K16" s="418"/>
      <c r="L16" s="418"/>
    </row>
    <row r="17" spans="1:18">
      <c r="A17" s="577" t="s">
        <v>9</v>
      </c>
      <c r="B17" s="22" t="s">
        <v>1219</v>
      </c>
      <c r="C17" s="22"/>
      <c r="D17" s="22"/>
      <c r="E17" s="22"/>
      <c r="F17" s="22"/>
      <c r="G17" s="22"/>
      <c r="H17" s="22"/>
      <c r="I17" s="22"/>
      <c r="J17" s="22"/>
      <c r="K17" s="22"/>
      <c r="L17" s="22"/>
      <c r="M17" s="328"/>
      <c r="N17" s="328"/>
      <c r="O17" s="328"/>
      <c r="P17" s="328"/>
      <c r="Q17" s="328"/>
      <c r="R17" s="328"/>
    </row>
    <row r="18" spans="1:18">
      <c r="A18" s="577"/>
      <c r="B18" s="22"/>
      <c r="C18" s="22"/>
      <c r="D18" s="22"/>
      <c r="E18" s="22"/>
      <c r="F18" s="22"/>
      <c r="G18" s="22"/>
      <c r="H18" s="22"/>
      <c r="I18" s="22"/>
      <c r="J18" s="22"/>
      <c r="K18" s="22"/>
      <c r="L18" s="22"/>
      <c r="M18" s="328"/>
      <c r="N18" s="328"/>
      <c r="O18" s="328"/>
      <c r="P18" s="328"/>
      <c r="Q18" s="328"/>
      <c r="R18" s="328"/>
    </row>
    <row r="19" spans="1:18">
      <c r="A19" s="577"/>
      <c r="B19" s="319" t="s">
        <v>350</v>
      </c>
      <c r="C19" s="22" t="s">
        <v>1218</v>
      </c>
      <c r="D19" s="22"/>
      <c r="E19" s="22"/>
      <c r="F19" s="22"/>
      <c r="G19" s="22"/>
      <c r="H19" s="22"/>
      <c r="I19" s="22"/>
      <c r="J19" s="22"/>
      <c r="K19" s="22"/>
      <c r="L19" s="22"/>
      <c r="M19" s="328"/>
      <c r="N19" s="328"/>
      <c r="O19" s="328"/>
      <c r="P19" s="328"/>
      <c r="Q19" s="328"/>
      <c r="R19" s="328"/>
    </row>
    <row r="20" spans="1:18">
      <c r="A20" s="577"/>
      <c r="B20" s="319"/>
      <c r="C20" s="22"/>
      <c r="D20" s="22"/>
      <c r="E20" s="22"/>
      <c r="F20" s="22"/>
      <c r="G20" s="22"/>
      <c r="H20" s="22"/>
      <c r="I20" s="22"/>
      <c r="J20" s="22"/>
      <c r="K20" s="22"/>
      <c r="L20" s="22"/>
      <c r="M20" s="328"/>
      <c r="N20" s="328"/>
      <c r="O20" s="328"/>
      <c r="P20" s="328"/>
      <c r="Q20" s="328"/>
      <c r="R20" s="328"/>
    </row>
    <row r="21" spans="1:18">
      <c r="A21" s="577"/>
      <c r="B21" s="319" t="s">
        <v>344</v>
      </c>
      <c r="C21" s="22" t="s">
        <v>1217</v>
      </c>
      <c r="D21" s="22"/>
      <c r="E21" s="22"/>
      <c r="F21" s="22"/>
      <c r="G21" s="22"/>
      <c r="H21" s="22"/>
      <c r="I21" s="22"/>
      <c r="J21" s="22"/>
      <c r="K21" s="22"/>
      <c r="L21" s="22"/>
      <c r="M21" s="328"/>
      <c r="N21" s="328"/>
      <c r="O21" s="328"/>
      <c r="P21" s="328"/>
      <c r="Q21" s="328"/>
      <c r="R21" s="328"/>
    </row>
    <row r="22" spans="1:18">
      <c r="A22" s="577"/>
      <c r="B22" s="319"/>
      <c r="C22" s="22"/>
      <c r="D22" s="22"/>
      <c r="E22" s="22"/>
      <c r="F22" s="22"/>
      <c r="G22" s="22"/>
      <c r="H22" s="22"/>
      <c r="I22" s="22"/>
      <c r="J22" s="22"/>
      <c r="K22" s="22"/>
      <c r="L22" s="22"/>
      <c r="M22" s="328"/>
      <c r="N22" s="328"/>
      <c r="O22" s="328"/>
      <c r="P22" s="328"/>
      <c r="Q22" s="328"/>
      <c r="R22" s="328"/>
    </row>
    <row r="23" spans="1:18">
      <c r="A23" s="577"/>
      <c r="B23" s="319" t="s">
        <v>974</v>
      </c>
      <c r="C23" s="22" t="s">
        <v>1216</v>
      </c>
      <c r="D23" s="22"/>
      <c r="E23" s="22"/>
      <c r="F23" s="22"/>
      <c r="G23" s="22"/>
      <c r="H23" s="22"/>
      <c r="I23" s="22"/>
      <c r="J23" s="22"/>
      <c r="K23" s="22"/>
      <c r="L23" s="22"/>
      <c r="M23" s="328"/>
      <c r="N23" s="328"/>
      <c r="O23" s="328"/>
      <c r="P23" s="328"/>
      <c r="Q23" s="328"/>
      <c r="R23" s="328"/>
    </row>
    <row r="24" spans="1:18">
      <c r="A24" s="2"/>
      <c r="B24" s="2"/>
      <c r="C24" s="2"/>
      <c r="D24" s="2"/>
      <c r="E24" s="2"/>
      <c r="F24" s="2"/>
      <c r="G24" s="22"/>
      <c r="H24" s="22"/>
      <c r="I24" s="22"/>
      <c r="J24" s="22"/>
      <c r="K24" s="22"/>
      <c r="L24" s="22"/>
    </row>
    <row r="25" spans="1:18">
      <c r="A25" s="37"/>
      <c r="B25" s="37"/>
      <c r="C25" s="37"/>
      <c r="D25" s="37"/>
      <c r="E25" s="37"/>
      <c r="F25" s="37"/>
      <c r="G25" s="37"/>
      <c r="H25" s="37"/>
      <c r="I25" s="37"/>
      <c r="J25" s="37"/>
      <c r="K25" s="37"/>
      <c r="L25" s="37"/>
      <c r="M25" s="37"/>
    </row>
    <row r="26" spans="1:18">
      <c r="A26" s="37" t="s">
        <v>650</v>
      </c>
      <c r="B26" s="37"/>
      <c r="C26" s="37"/>
      <c r="D26" s="37"/>
      <c r="E26" s="37"/>
      <c r="F26" s="37"/>
      <c r="G26" s="37"/>
      <c r="H26" s="37"/>
      <c r="I26" s="37"/>
      <c r="J26" s="37"/>
      <c r="K26" s="37"/>
      <c r="L26" s="37"/>
      <c r="M26" s="37"/>
      <c r="N26" s="328"/>
    </row>
    <row r="27" spans="1:18" ht="18">
      <c r="A27" s="37"/>
      <c r="B27" s="1" t="s">
        <v>1215</v>
      </c>
      <c r="C27"/>
      <c r="G27" s="1">
        <f>E11</f>
        <v>176</v>
      </c>
      <c r="H27" s="37"/>
      <c r="I27" s="37"/>
      <c r="J27" s="37"/>
      <c r="K27" s="37"/>
      <c r="L27" s="37"/>
      <c r="M27" s="37"/>
      <c r="N27" s="328"/>
    </row>
    <row r="28" spans="1:18">
      <c r="A28" s="37"/>
      <c r="C28"/>
      <c r="H28" s="37"/>
      <c r="I28" s="37"/>
      <c r="J28" s="37"/>
      <c r="K28" s="37"/>
      <c r="L28" s="37"/>
      <c r="M28" s="37"/>
      <c r="N28" s="328"/>
    </row>
    <row r="29" spans="1:18" ht="18">
      <c r="B29" s="1" t="s">
        <v>1214</v>
      </c>
      <c r="C29"/>
      <c r="G29" s="1">
        <f>SUM(G11:G13)</f>
        <v>778</v>
      </c>
      <c r="M29" s="328"/>
      <c r="N29" s="328"/>
    </row>
    <row r="30" spans="1:18">
      <c r="C30"/>
      <c r="M30" s="328"/>
      <c r="N30" s="328"/>
    </row>
    <row r="31" spans="1:18" ht="18">
      <c r="B31" s="1" t="s">
        <v>1213</v>
      </c>
      <c r="C31"/>
      <c r="G31" s="909">
        <f>H12+H13+H14+I13+I14+J14</f>
        <v>1577</v>
      </c>
      <c r="M31" s="328"/>
      <c r="N31" s="328"/>
    </row>
    <row r="32" spans="1:18">
      <c r="M32" s="328"/>
      <c r="N32" s="328"/>
    </row>
    <row r="33" spans="1:14">
      <c r="A33" s="22" t="s">
        <v>1212</v>
      </c>
      <c r="B33" s="22"/>
      <c r="C33" s="22"/>
      <c r="D33" s="22"/>
      <c r="E33" s="22"/>
      <c r="F33" s="22"/>
      <c r="G33" s="22"/>
      <c r="H33" s="22"/>
      <c r="I33" s="22"/>
      <c r="J33" s="22"/>
      <c r="K33" s="22"/>
      <c r="L33" s="2"/>
      <c r="M33" s="328"/>
      <c r="N33" s="328"/>
    </row>
    <row r="34" spans="1:14">
      <c r="A34" s="578" t="s">
        <v>653</v>
      </c>
      <c r="B34" s="22" t="s">
        <v>1211</v>
      </c>
      <c r="C34" s="22"/>
      <c r="D34" s="22"/>
      <c r="E34" s="22"/>
      <c r="F34" s="22"/>
      <c r="G34" s="22"/>
      <c r="H34" s="22"/>
      <c r="I34" s="22"/>
      <c r="J34" s="22"/>
      <c r="K34" s="22"/>
      <c r="L34" s="2"/>
      <c r="M34" s="328"/>
      <c r="N34" s="328"/>
    </row>
    <row r="35" spans="1:14">
      <c r="A35" s="578" t="s">
        <v>653</v>
      </c>
      <c r="B35" s="22" t="s">
        <v>1210</v>
      </c>
      <c r="C35" s="22"/>
      <c r="D35" s="22"/>
      <c r="E35" s="22"/>
      <c r="F35" s="22"/>
      <c r="G35" s="22"/>
      <c r="H35" s="22"/>
      <c r="I35" s="22"/>
      <c r="J35" s="22"/>
      <c r="K35" s="22"/>
      <c r="L35" s="2"/>
      <c r="M35" s="328"/>
      <c r="N35" s="328"/>
    </row>
    <row r="36" spans="1:14">
      <c r="A36" s="578" t="s">
        <v>653</v>
      </c>
      <c r="B36" s="22" t="s">
        <v>1209</v>
      </c>
      <c r="C36" s="22"/>
      <c r="D36" s="22"/>
      <c r="E36" s="22"/>
      <c r="F36" s="22"/>
      <c r="G36" s="22"/>
      <c r="H36" s="22"/>
      <c r="I36" s="22"/>
      <c r="J36" s="22"/>
      <c r="K36" s="22"/>
      <c r="L36" s="2"/>
      <c r="M36" s="328"/>
      <c r="N36" s="328"/>
    </row>
    <row r="37" spans="1:14">
      <c r="A37" s="22"/>
      <c r="B37" s="22"/>
      <c r="C37" s="22"/>
      <c r="D37" s="22"/>
      <c r="E37" s="22"/>
      <c r="F37" s="22"/>
      <c r="G37" s="22"/>
      <c r="H37" s="22"/>
      <c r="I37" s="22"/>
      <c r="J37" s="22"/>
      <c r="K37" s="22"/>
      <c r="L37" s="2"/>
      <c r="M37" s="328"/>
      <c r="N37" s="328"/>
    </row>
    <row r="38" spans="1:14">
      <c r="A38" s="2"/>
      <c r="B38" s="2"/>
      <c r="C38" s="2"/>
      <c r="D38" s="2"/>
      <c r="E38" s="2"/>
      <c r="F38" s="2"/>
      <c r="G38" s="2"/>
      <c r="H38" s="2"/>
      <c r="I38" s="2"/>
      <c r="J38" s="2"/>
      <c r="K38" s="2"/>
      <c r="L38" s="2"/>
      <c r="M38" s="328"/>
      <c r="N38" s="328"/>
    </row>
    <row r="39" spans="1:14">
      <c r="A39" s="577" t="s">
        <v>7</v>
      </c>
      <c r="B39" s="22" t="s">
        <v>1208</v>
      </c>
      <c r="C39" s="22"/>
      <c r="D39" s="22"/>
      <c r="E39" s="22"/>
      <c r="F39" s="22"/>
      <c r="G39" s="22"/>
      <c r="H39" s="22"/>
      <c r="I39" s="22"/>
      <c r="J39" s="22"/>
      <c r="K39" s="22"/>
      <c r="L39" s="22"/>
    </row>
    <row r="40" spans="1:14">
      <c r="A40" s="577"/>
      <c r="B40" s="22"/>
      <c r="C40" s="22"/>
      <c r="D40" s="22"/>
      <c r="E40" s="22"/>
      <c r="F40" s="22"/>
      <c r="G40" s="22"/>
      <c r="H40" s="22"/>
      <c r="I40" s="22"/>
      <c r="J40" s="22"/>
      <c r="K40" s="22"/>
      <c r="L40" s="22"/>
    </row>
    <row r="41" spans="1:14">
      <c r="A41" s="577"/>
      <c r="B41" s="319" t="s">
        <v>350</v>
      </c>
      <c r="C41" s="22" t="s">
        <v>1207</v>
      </c>
      <c r="D41" s="22"/>
      <c r="E41" s="22"/>
      <c r="F41" s="22"/>
      <c r="G41" s="22"/>
      <c r="H41" s="22"/>
      <c r="I41" s="22"/>
      <c r="J41" s="22"/>
      <c r="K41" s="22"/>
      <c r="L41" s="22"/>
    </row>
    <row r="42" spans="1:14">
      <c r="A42" s="577"/>
      <c r="B42" s="319"/>
      <c r="C42" s="22"/>
      <c r="D42" s="22"/>
      <c r="E42" s="22"/>
      <c r="F42" s="22"/>
      <c r="G42" s="22"/>
      <c r="H42" s="22"/>
      <c r="I42" s="22"/>
      <c r="J42" s="22"/>
      <c r="K42" s="22"/>
      <c r="L42" s="22"/>
    </row>
    <row r="43" spans="1:14">
      <c r="A43" s="577"/>
      <c r="B43" s="319" t="s">
        <v>344</v>
      </c>
      <c r="C43" s="22" t="s">
        <v>1206</v>
      </c>
      <c r="D43" s="22"/>
      <c r="E43" s="22"/>
      <c r="F43" s="22"/>
      <c r="G43" s="22"/>
      <c r="H43" s="22"/>
      <c r="I43" s="22"/>
      <c r="J43" s="22"/>
      <c r="K43" s="22"/>
      <c r="L43" s="22"/>
    </row>
    <row r="44" spans="1:14">
      <c r="A44" s="2"/>
      <c r="B44" s="2"/>
      <c r="C44" s="2"/>
      <c r="D44" s="2"/>
      <c r="E44" s="2"/>
      <c r="F44" s="2"/>
      <c r="G44" s="22"/>
      <c r="H44" s="22"/>
      <c r="I44" s="22"/>
      <c r="J44" s="22"/>
      <c r="K44" s="22"/>
      <c r="L44" s="22"/>
    </row>
    <row r="45" spans="1:14">
      <c r="A45" s="37"/>
      <c r="B45" s="37"/>
      <c r="C45" s="37"/>
      <c r="D45" s="37"/>
      <c r="E45" s="37"/>
      <c r="F45" s="37"/>
      <c r="G45" s="37"/>
      <c r="H45" s="37"/>
      <c r="I45" s="37"/>
      <c r="J45" s="37"/>
      <c r="K45" s="37"/>
      <c r="L45" s="37"/>
    </row>
    <row r="46" spans="1:14">
      <c r="A46" s="37" t="s">
        <v>650</v>
      </c>
      <c r="B46" s="37"/>
      <c r="C46" s="37"/>
      <c r="D46" s="37"/>
      <c r="E46" s="37"/>
      <c r="F46" s="37"/>
      <c r="G46" s="37"/>
      <c r="H46" s="37"/>
      <c r="I46" s="37"/>
      <c r="J46" s="37"/>
      <c r="K46" s="37"/>
      <c r="L46" s="37"/>
    </row>
    <row r="47" spans="1:14">
      <c r="A47" s="37"/>
      <c r="B47" s="908" t="s">
        <v>1068</v>
      </c>
      <c r="C47" s="1847" t="s">
        <v>1205</v>
      </c>
      <c r="D47" s="1847"/>
      <c r="E47" s="1847"/>
      <c r="F47" s="1847"/>
      <c r="G47" s="1847"/>
      <c r="H47" s="1847"/>
      <c r="I47" s="1847"/>
      <c r="J47" s="1847"/>
      <c r="K47" s="37"/>
      <c r="L47" s="37"/>
    </row>
    <row r="48" spans="1:14">
      <c r="A48" s="37"/>
      <c r="B48" s="908" t="s">
        <v>1204</v>
      </c>
      <c r="C48" s="908">
        <v>1</v>
      </c>
      <c r="D48" s="908">
        <v>2</v>
      </c>
      <c r="E48" s="908">
        <v>3</v>
      </c>
      <c r="F48" s="908">
        <v>4</v>
      </c>
      <c r="G48" s="908">
        <v>5</v>
      </c>
      <c r="H48" s="908">
        <v>6</v>
      </c>
      <c r="I48" s="908">
        <v>7</v>
      </c>
      <c r="J48" s="908">
        <v>8</v>
      </c>
      <c r="K48" s="37"/>
      <c r="L48" s="37"/>
    </row>
    <row r="49" spans="2:13">
      <c r="B49" s="908">
        <v>0</v>
      </c>
      <c r="C49" s="907">
        <v>200</v>
      </c>
      <c r="D49" s="907">
        <f>C49*1.1</f>
        <v>220.00000000000003</v>
      </c>
      <c r="E49" s="907">
        <f>D49*1.1</f>
        <v>242.00000000000006</v>
      </c>
      <c r="F49" s="907">
        <f>E49*1.1</f>
        <v>266.2000000000001</v>
      </c>
      <c r="G49" s="907">
        <f>F49*1.1</f>
        <v>292.82000000000016</v>
      </c>
      <c r="H49" s="907"/>
      <c r="I49" s="907"/>
      <c r="J49" s="907"/>
      <c r="M49" s="37"/>
    </row>
    <row r="50" spans="2:13">
      <c r="B50" s="908">
        <v>1</v>
      </c>
      <c r="C50" s="907">
        <f>C49/1.1</f>
        <v>181.81818181818181</v>
      </c>
      <c r="D50" s="907">
        <f t="shared" ref="D50:H52" si="0">C49</f>
        <v>200</v>
      </c>
      <c r="E50" s="907">
        <f t="shared" si="0"/>
        <v>220.00000000000003</v>
      </c>
      <c r="F50" s="907">
        <f t="shared" si="0"/>
        <v>242.00000000000006</v>
      </c>
      <c r="G50" s="907">
        <f t="shared" si="0"/>
        <v>266.2000000000001</v>
      </c>
      <c r="H50" s="907">
        <f t="shared" si="0"/>
        <v>292.82000000000016</v>
      </c>
      <c r="I50" s="907"/>
      <c r="J50" s="907"/>
      <c r="M50" s="37"/>
    </row>
    <row r="51" spans="2:13">
      <c r="B51" s="908">
        <v>2</v>
      </c>
      <c r="C51" s="907">
        <f>C50/1.1</f>
        <v>165.28925619834709</v>
      </c>
      <c r="D51" s="907">
        <f t="shared" si="0"/>
        <v>181.81818181818181</v>
      </c>
      <c r="E51" s="907">
        <f t="shared" si="0"/>
        <v>200</v>
      </c>
      <c r="F51" s="907">
        <f t="shared" si="0"/>
        <v>220.00000000000003</v>
      </c>
      <c r="G51" s="907">
        <f t="shared" si="0"/>
        <v>242.00000000000006</v>
      </c>
      <c r="H51" s="907">
        <f t="shared" si="0"/>
        <v>266.2000000000001</v>
      </c>
      <c r="I51" s="907">
        <f>H50</f>
        <v>292.82000000000016</v>
      </c>
      <c r="J51" s="907"/>
      <c r="M51" s="37"/>
    </row>
    <row r="52" spans="2:13">
      <c r="B52" s="908">
        <v>3</v>
      </c>
      <c r="C52" s="907"/>
      <c r="D52" s="907">
        <f t="shared" si="0"/>
        <v>165.28925619834709</v>
      </c>
      <c r="E52" s="907">
        <f t="shared" si="0"/>
        <v>181.81818181818181</v>
      </c>
      <c r="F52" s="907">
        <f t="shared" si="0"/>
        <v>200</v>
      </c>
      <c r="G52" s="907">
        <f t="shared" si="0"/>
        <v>220.00000000000003</v>
      </c>
      <c r="H52" s="907">
        <f t="shared" si="0"/>
        <v>242.00000000000006</v>
      </c>
      <c r="I52" s="907">
        <f>H51</f>
        <v>266.2000000000001</v>
      </c>
      <c r="J52" s="907">
        <f>I51</f>
        <v>292.82000000000016</v>
      </c>
    </row>
    <row r="53" spans="2:13">
      <c r="C53"/>
      <c r="D53"/>
      <c r="E53"/>
      <c r="F53"/>
      <c r="G53"/>
    </row>
    <row r="54" spans="2:13">
      <c r="B54" s="559" t="s">
        <v>1203</v>
      </c>
      <c r="C54"/>
      <c r="D54"/>
      <c r="E54"/>
      <c r="F54" s="1">
        <f>(F49+F50)/SUM(F49:F52)</f>
        <v>0.54751131221719462</v>
      </c>
      <c r="G54" s="277"/>
      <c r="H54" s="905"/>
    </row>
    <row r="55" spans="2:13">
      <c r="C55"/>
      <c r="D55"/>
      <c r="E55"/>
      <c r="H55" s="906"/>
    </row>
    <row r="56" spans="2:13">
      <c r="B56" s="559" t="s">
        <v>1202</v>
      </c>
      <c r="C56"/>
      <c r="D56"/>
      <c r="E56"/>
      <c r="F56" s="1">
        <f>SUM(G50,G51,G52,H51,H52,I52)/SUM(F49:F52)</f>
        <v>1.618832148243913</v>
      </c>
      <c r="G56" s="277"/>
      <c r="H56" s="905"/>
      <c r="I56"/>
      <c r="J56"/>
    </row>
    <row r="57" spans="2:13">
      <c r="B57"/>
      <c r="C57"/>
      <c r="D57"/>
      <c r="E57"/>
      <c r="H57" s="277"/>
      <c r="I57"/>
      <c r="J57"/>
    </row>
  </sheetData>
  <mergeCells count="4">
    <mergeCell ref="B8:J8"/>
    <mergeCell ref="B9:B10"/>
    <mergeCell ref="C9:J9"/>
    <mergeCell ref="C47:J47"/>
  </mergeCells>
  <pageMargins left="0.39370078740157483" right="0.39370078740157483" top="0.39370078740157483" bottom="0.39370078740157483" header="0.31496062992125984" footer="0.31496062992125984"/>
  <pageSetup scale="88" orientation="portrait" verticalDpi="1200" r:id="rId1"/>
  <headerFooter>
    <oddFooter>&amp;L&amp;F [&amp;A]&amp;R&amp;P of &amp;N</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3660-8951-4E2D-94B9-D9A551D7792E}">
  <dimension ref="A1:R72"/>
  <sheetViews>
    <sheetView zoomScaleNormal="100" workbookViewId="0"/>
  </sheetViews>
  <sheetFormatPr defaultColWidth="8.88671875" defaultRowHeight="15.6"/>
  <cols>
    <col min="1" max="1" width="8.88671875" style="1" customWidth="1"/>
    <col min="2" max="2" width="11.77734375" style="1" customWidth="1"/>
    <col min="3" max="3" width="22.88671875" style="1" customWidth="1"/>
    <col min="4" max="7" width="11.77734375" style="1" customWidth="1"/>
    <col min="8" max="8" width="8.88671875" style="1" customWidth="1"/>
    <col min="9" max="16384" width="8.88671875" style="1"/>
  </cols>
  <sheetData>
    <row r="1" spans="1:12" ht="17.399999999999999">
      <c r="A1" s="23" t="s">
        <v>494</v>
      </c>
      <c r="B1" s="22"/>
      <c r="C1" s="22" t="s">
        <v>758</v>
      </c>
      <c r="D1" s="22"/>
      <c r="E1" s="22"/>
      <c r="F1" s="22"/>
      <c r="G1" s="22"/>
      <c r="H1" s="22"/>
      <c r="I1" s="22"/>
      <c r="J1" s="22"/>
      <c r="K1" s="22"/>
      <c r="L1" s="2"/>
    </row>
    <row r="2" spans="1:12">
      <c r="A2" s="22"/>
      <c r="B2" s="22"/>
      <c r="C2" s="22"/>
      <c r="D2" s="22"/>
      <c r="E2" s="22"/>
      <c r="F2" s="22"/>
      <c r="G2" s="22"/>
      <c r="H2" s="22"/>
      <c r="I2" s="22"/>
      <c r="J2" s="22"/>
      <c r="K2" s="22"/>
      <c r="L2" s="2"/>
    </row>
    <row r="3" spans="1:12">
      <c r="A3" s="2"/>
      <c r="B3" s="2"/>
      <c r="C3" s="2"/>
      <c r="D3" s="2"/>
      <c r="E3" s="2"/>
      <c r="F3" s="2"/>
      <c r="G3" s="2"/>
      <c r="H3" s="2"/>
      <c r="I3" s="2"/>
      <c r="J3" s="2"/>
      <c r="K3" s="2"/>
      <c r="L3" s="2"/>
    </row>
    <row r="4" spans="1:12">
      <c r="A4" s="341" t="s">
        <v>667</v>
      </c>
      <c r="B4" s="2"/>
      <c r="C4" s="2"/>
      <c r="D4" s="2"/>
      <c r="E4" s="2"/>
      <c r="F4" s="2"/>
      <c r="G4" s="2"/>
      <c r="H4" s="2"/>
      <c r="I4" s="2"/>
      <c r="J4" s="2"/>
      <c r="K4" s="2"/>
      <c r="L4" s="2"/>
    </row>
    <row r="5" spans="1:12">
      <c r="A5" s="418"/>
      <c r="B5" s="418"/>
      <c r="C5" s="418"/>
      <c r="D5" s="418"/>
      <c r="E5" s="418"/>
      <c r="F5" s="418"/>
      <c r="G5" s="418"/>
      <c r="H5" s="418"/>
      <c r="I5" s="418"/>
      <c r="J5" s="418"/>
      <c r="K5" s="418"/>
      <c r="L5" s="418"/>
    </row>
    <row r="6" spans="1:12">
      <c r="A6" s="341" t="s">
        <v>666</v>
      </c>
      <c r="B6" s="2"/>
      <c r="C6" s="2"/>
      <c r="D6" s="2"/>
      <c r="E6" s="2"/>
      <c r="F6" s="2"/>
      <c r="G6" s="2"/>
      <c r="H6" s="2"/>
      <c r="I6" s="2"/>
      <c r="J6" s="2"/>
      <c r="K6" s="2"/>
      <c r="L6" s="2"/>
    </row>
    <row r="7" spans="1:12">
      <c r="A7" s="418"/>
      <c r="B7" s="418"/>
      <c r="C7" s="418"/>
      <c r="D7" s="418"/>
      <c r="E7" s="418"/>
      <c r="F7" s="418"/>
      <c r="G7" s="418"/>
      <c r="H7" s="418"/>
      <c r="I7" s="418"/>
      <c r="J7" s="418"/>
      <c r="K7" s="418"/>
      <c r="L7" s="418"/>
    </row>
    <row r="8" spans="1:12">
      <c r="A8" s="22" t="s">
        <v>1254</v>
      </c>
      <c r="B8" s="22"/>
      <c r="C8" s="22"/>
      <c r="D8" s="22"/>
      <c r="E8" s="22"/>
      <c r="F8" s="22"/>
      <c r="G8" s="22"/>
      <c r="H8" s="22"/>
      <c r="I8" s="22"/>
      <c r="J8" s="22"/>
      <c r="K8" s="22"/>
      <c r="L8" s="2"/>
    </row>
    <row r="9" spans="1:12">
      <c r="A9" s="22"/>
      <c r="B9" s="22"/>
      <c r="C9" s="22"/>
      <c r="D9" s="22"/>
      <c r="E9" s="22"/>
      <c r="F9" s="22"/>
      <c r="G9" s="22"/>
      <c r="H9" s="22"/>
      <c r="I9" s="22"/>
      <c r="J9" s="22"/>
      <c r="K9" s="22"/>
      <c r="L9" s="2"/>
    </row>
    <row r="10" spans="1:12">
      <c r="A10" s="22"/>
      <c r="B10" s="1754" t="s">
        <v>1243</v>
      </c>
      <c r="C10" s="1754"/>
      <c r="D10" s="1754" t="s">
        <v>1253</v>
      </c>
      <c r="E10" s="1754"/>
      <c r="F10" s="22"/>
      <c r="G10" s="22"/>
      <c r="H10" s="22"/>
      <c r="I10" s="22"/>
      <c r="J10" s="22"/>
      <c r="K10" s="22"/>
      <c r="L10" s="2"/>
    </row>
    <row r="11" spans="1:12">
      <c r="A11" s="22"/>
      <c r="B11" s="1757" t="s">
        <v>1241</v>
      </c>
      <c r="C11" s="1757"/>
      <c r="D11" s="1762">
        <v>15000</v>
      </c>
      <c r="E11" s="1762"/>
      <c r="F11" s="22"/>
      <c r="G11" s="22"/>
      <c r="H11" s="22"/>
      <c r="I11" s="22"/>
      <c r="J11" s="22"/>
      <c r="K11" s="22"/>
      <c r="L11" s="2"/>
    </row>
    <row r="12" spans="1:12">
      <c r="A12" s="22"/>
      <c r="B12" s="1757" t="s">
        <v>1240</v>
      </c>
      <c r="C12" s="1757"/>
      <c r="D12" s="1762">
        <v>40000</v>
      </c>
      <c r="E12" s="1762"/>
      <c r="F12" s="22"/>
      <c r="G12" s="22"/>
      <c r="H12" s="22"/>
      <c r="I12" s="22"/>
      <c r="J12" s="22"/>
      <c r="K12" s="22"/>
      <c r="L12" s="2"/>
    </row>
    <row r="13" spans="1:12">
      <c r="A13" s="22"/>
      <c r="B13" s="1757" t="s">
        <v>1239</v>
      </c>
      <c r="C13" s="1757"/>
      <c r="D13" s="1762">
        <v>5000</v>
      </c>
      <c r="E13" s="1762"/>
      <c r="F13" s="22"/>
      <c r="G13" s="22"/>
      <c r="H13" s="22"/>
      <c r="I13" s="22"/>
      <c r="J13" s="22"/>
      <c r="K13" s="22"/>
      <c r="L13" s="2"/>
    </row>
    <row r="14" spans="1:12">
      <c r="A14" s="22"/>
      <c r="B14" s="1757" t="s">
        <v>1252</v>
      </c>
      <c r="C14" s="1757"/>
      <c r="D14" s="1762">
        <v>20000</v>
      </c>
      <c r="E14" s="1762"/>
      <c r="F14" s="22"/>
      <c r="G14" s="22"/>
      <c r="H14" s="22"/>
      <c r="I14" s="22"/>
      <c r="J14" s="22"/>
      <c r="K14" s="22"/>
      <c r="L14" s="2"/>
    </row>
    <row r="15" spans="1:12">
      <c r="A15" s="22"/>
      <c r="B15" s="22"/>
      <c r="C15" s="22"/>
      <c r="D15" s="22"/>
      <c r="E15" s="22"/>
      <c r="F15" s="22"/>
      <c r="G15" s="22"/>
      <c r="H15" s="22"/>
      <c r="I15" s="22"/>
      <c r="J15" s="22"/>
      <c r="K15" s="22"/>
      <c r="L15" s="2"/>
    </row>
    <row r="16" spans="1:12" ht="32.4" customHeight="1">
      <c r="A16" s="22"/>
      <c r="B16" s="1848" t="s">
        <v>1251</v>
      </c>
      <c r="C16" s="1848"/>
      <c r="D16" s="332" t="s">
        <v>1236</v>
      </c>
      <c r="E16" s="1848" t="s">
        <v>1250</v>
      </c>
      <c r="F16" s="1848"/>
      <c r="G16" s="332" t="s">
        <v>1234</v>
      </c>
      <c r="H16" s="22"/>
      <c r="I16" s="22"/>
      <c r="J16" s="22"/>
      <c r="K16" s="22"/>
      <c r="L16" s="2"/>
    </row>
    <row r="17" spans="1:18">
      <c r="A17" s="22"/>
      <c r="B17" s="1851" t="s">
        <v>1231</v>
      </c>
      <c r="C17" s="1851"/>
      <c r="D17" s="526">
        <v>1400000</v>
      </c>
      <c r="E17" s="1852">
        <v>0.1</v>
      </c>
      <c r="F17" s="1852"/>
      <c r="G17" s="917">
        <v>0.5</v>
      </c>
      <c r="H17" s="22"/>
      <c r="I17" s="22"/>
      <c r="J17" s="22"/>
      <c r="K17" s="22"/>
      <c r="L17" s="2"/>
    </row>
    <row r="18" spans="1:18">
      <c r="A18" s="22"/>
      <c r="B18" s="1851" t="s">
        <v>1230</v>
      </c>
      <c r="C18" s="1851"/>
      <c r="D18" s="526">
        <v>1600000</v>
      </c>
      <c r="E18" s="1852">
        <v>2</v>
      </c>
      <c r="F18" s="1852"/>
      <c r="G18" s="917">
        <v>0.4</v>
      </c>
      <c r="H18" s="22"/>
      <c r="I18" s="22"/>
      <c r="J18" s="22"/>
      <c r="K18" s="22"/>
      <c r="L18" s="2"/>
    </row>
    <row r="19" spans="1:18">
      <c r="A19" s="22"/>
      <c r="B19" s="1851" t="s">
        <v>1229</v>
      </c>
      <c r="C19" s="1851"/>
      <c r="D19" s="526">
        <v>1000000</v>
      </c>
      <c r="E19" s="1852">
        <v>1.5</v>
      </c>
      <c r="F19" s="1852"/>
      <c r="G19" s="917">
        <v>0.3</v>
      </c>
      <c r="H19" s="22"/>
      <c r="I19" s="22"/>
      <c r="J19" s="22"/>
      <c r="K19" s="22"/>
      <c r="L19" s="2"/>
    </row>
    <row r="20" spans="1:18">
      <c r="A20" s="22"/>
      <c r="B20" s="22"/>
      <c r="C20" s="22"/>
      <c r="D20" s="22"/>
      <c r="E20" s="22"/>
      <c r="F20" s="22"/>
      <c r="G20" s="22"/>
      <c r="H20" s="22"/>
      <c r="I20" s="22"/>
      <c r="J20" s="22"/>
      <c r="K20" s="22"/>
      <c r="L20" s="2"/>
    </row>
    <row r="21" spans="1:18">
      <c r="A21" s="22"/>
      <c r="B21" s="578" t="s">
        <v>653</v>
      </c>
      <c r="C21" s="22" t="s">
        <v>1249</v>
      </c>
      <c r="D21" s="22"/>
      <c r="E21" s="22"/>
      <c r="F21" s="22"/>
      <c r="G21" s="22"/>
      <c r="H21" s="22"/>
      <c r="I21" s="22"/>
      <c r="J21" s="22"/>
      <c r="K21" s="22"/>
      <c r="L21" s="2"/>
    </row>
    <row r="22" spans="1:18">
      <c r="A22" s="22"/>
      <c r="B22" s="22"/>
      <c r="C22" s="22"/>
      <c r="D22" s="22"/>
      <c r="E22" s="22"/>
      <c r="F22" s="22"/>
      <c r="G22" s="22"/>
      <c r="H22" s="22"/>
      <c r="I22" s="22"/>
      <c r="J22" s="22"/>
      <c r="K22" s="22"/>
      <c r="L22" s="22"/>
    </row>
    <row r="23" spans="1:18">
      <c r="A23" s="418"/>
      <c r="B23" s="418"/>
      <c r="C23" s="418"/>
      <c r="D23" s="418"/>
      <c r="E23" s="418"/>
      <c r="F23" s="418"/>
      <c r="G23" s="418"/>
      <c r="H23" s="418"/>
      <c r="I23" s="418"/>
      <c r="J23" s="418"/>
      <c r="K23" s="418"/>
      <c r="L23" s="418"/>
    </row>
    <row r="24" spans="1:18">
      <c r="A24" s="418"/>
      <c r="B24" s="418"/>
      <c r="C24" s="418"/>
      <c r="D24" s="418"/>
      <c r="E24" s="418"/>
      <c r="F24" s="418"/>
      <c r="G24" s="418"/>
      <c r="H24" s="418"/>
      <c r="I24" s="418"/>
      <c r="J24" s="418"/>
      <c r="K24" s="418"/>
      <c r="L24" s="418"/>
    </row>
    <row r="25" spans="1:18">
      <c r="A25" s="577" t="s">
        <v>7</v>
      </c>
      <c r="B25" s="22" t="s">
        <v>1248</v>
      </c>
      <c r="C25" s="22"/>
      <c r="D25" s="22"/>
      <c r="E25" s="22"/>
      <c r="F25" s="22"/>
      <c r="G25" s="22"/>
      <c r="H25" s="22"/>
      <c r="I25" s="22"/>
      <c r="J25" s="22"/>
      <c r="K25" s="22"/>
      <c r="L25" s="22"/>
      <c r="M25" s="328"/>
      <c r="N25" s="328"/>
      <c r="O25" s="328"/>
      <c r="P25" s="328"/>
      <c r="Q25" s="328"/>
      <c r="R25" s="328"/>
    </row>
    <row r="26" spans="1:18">
      <c r="A26" s="577"/>
      <c r="B26" s="22"/>
      <c r="C26" s="22"/>
      <c r="D26" s="22"/>
      <c r="E26" s="22"/>
      <c r="F26" s="22"/>
      <c r="G26" s="22"/>
      <c r="H26" s="22"/>
      <c r="I26" s="22"/>
      <c r="J26" s="22"/>
      <c r="K26" s="22"/>
      <c r="L26" s="22"/>
      <c r="M26" s="328"/>
      <c r="N26" s="328"/>
      <c r="O26" s="328"/>
      <c r="P26" s="328"/>
      <c r="Q26" s="328"/>
      <c r="R26" s="328"/>
    </row>
    <row r="27" spans="1:18">
      <c r="A27" s="577"/>
      <c r="B27" s="22" t="s">
        <v>350</v>
      </c>
      <c r="C27" s="22" t="s">
        <v>1247</v>
      </c>
      <c r="D27" s="22"/>
      <c r="E27" s="22"/>
      <c r="F27" s="22"/>
      <c r="G27" s="22"/>
      <c r="H27" s="22"/>
      <c r="I27" s="22"/>
      <c r="J27" s="22"/>
      <c r="K27" s="22"/>
      <c r="L27" s="22"/>
      <c r="M27" s="328"/>
      <c r="N27" s="328"/>
      <c r="O27" s="328"/>
      <c r="P27" s="328"/>
      <c r="Q27" s="328"/>
      <c r="R27" s="328"/>
    </row>
    <row r="28" spans="1:18">
      <c r="A28" s="577"/>
      <c r="B28" s="22"/>
      <c r="C28" s="22"/>
      <c r="D28" s="22"/>
      <c r="E28" s="22"/>
      <c r="F28" s="22"/>
      <c r="G28" s="22"/>
      <c r="H28" s="22"/>
      <c r="I28" s="22"/>
      <c r="J28" s="22"/>
      <c r="K28" s="22"/>
      <c r="L28" s="22"/>
      <c r="M28" s="328"/>
      <c r="N28" s="328"/>
      <c r="O28" s="328"/>
      <c r="P28" s="328"/>
      <c r="Q28" s="328"/>
      <c r="R28" s="328"/>
    </row>
    <row r="29" spans="1:18">
      <c r="A29" s="577"/>
      <c r="B29" s="22" t="s">
        <v>344</v>
      </c>
      <c r="C29" s="22" t="s">
        <v>1246</v>
      </c>
      <c r="D29" s="22"/>
      <c r="E29" s="22"/>
      <c r="F29" s="22"/>
      <c r="G29" s="22"/>
      <c r="H29" s="22"/>
      <c r="I29" s="22"/>
      <c r="J29" s="22"/>
      <c r="K29" s="22"/>
      <c r="L29" s="22"/>
      <c r="M29" s="328"/>
      <c r="N29" s="328"/>
      <c r="O29" s="328"/>
      <c r="P29" s="328"/>
      <c r="Q29" s="328"/>
      <c r="R29" s="328"/>
    </row>
    <row r="30" spans="1:18">
      <c r="A30" s="577"/>
      <c r="B30" s="22"/>
      <c r="C30" s="22"/>
      <c r="D30" s="22"/>
      <c r="E30" s="22"/>
      <c r="F30" s="22"/>
      <c r="G30" s="22"/>
      <c r="H30" s="22"/>
      <c r="I30" s="22"/>
      <c r="J30" s="22"/>
      <c r="K30" s="22"/>
      <c r="L30" s="22"/>
      <c r="M30" s="328"/>
      <c r="N30" s="328"/>
      <c r="O30" s="328"/>
      <c r="P30" s="328"/>
      <c r="Q30" s="328"/>
      <c r="R30" s="328"/>
    </row>
    <row r="31" spans="1:18">
      <c r="A31" s="577"/>
      <c r="B31" s="22" t="s">
        <v>974</v>
      </c>
      <c r="C31" s="22" t="s">
        <v>1245</v>
      </c>
      <c r="D31" s="22"/>
      <c r="E31" s="22"/>
      <c r="F31" s="22"/>
      <c r="G31" s="22"/>
      <c r="H31" s="22"/>
      <c r="I31" s="22"/>
      <c r="J31" s="22"/>
      <c r="K31" s="22"/>
      <c r="L31" s="22"/>
      <c r="M31" s="328"/>
      <c r="N31" s="328"/>
      <c r="O31" s="328"/>
      <c r="P31" s="328"/>
      <c r="Q31" s="328"/>
      <c r="R31" s="328"/>
    </row>
    <row r="32" spans="1:18">
      <c r="A32" s="2"/>
      <c r="B32" s="2"/>
      <c r="C32" s="2"/>
      <c r="D32" s="2"/>
      <c r="E32" s="2"/>
      <c r="F32" s="2"/>
      <c r="G32" s="22"/>
      <c r="H32" s="22"/>
      <c r="I32" s="22"/>
      <c r="J32" s="22"/>
      <c r="K32" s="22"/>
      <c r="L32" s="22"/>
    </row>
    <row r="33" spans="1:14" ht="15.6" customHeight="1">
      <c r="A33" s="37"/>
      <c r="B33" s="37"/>
      <c r="C33" s="37"/>
      <c r="D33" s="37"/>
      <c r="E33" s="37"/>
      <c r="F33" s="37"/>
      <c r="G33" s="37"/>
      <c r="H33" s="37"/>
      <c r="I33" s="37"/>
      <c r="J33" s="37"/>
      <c r="K33" s="37"/>
      <c r="L33" s="37"/>
      <c r="M33" s="37"/>
    </row>
    <row r="34" spans="1:14">
      <c r="A34" s="37" t="s">
        <v>650</v>
      </c>
      <c r="B34" s="37"/>
      <c r="C34" s="37"/>
      <c r="D34" s="37"/>
      <c r="E34" s="37"/>
      <c r="F34" s="37"/>
      <c r="G34" s="37"/>
      <c r="H34" s="37"/>
      <c r="I34" s="37"/>
      <c r="J34" s="37"/>
      <c r="K34" s="37"/>
      <c r="L34" s="37"/>
      <c r="M34" s="37"/>
      <c r="N34" s="328"/>
    </row>
    <row r="35" spans="1:14">
      <c r="A35" s="37"/>
      <c r="B35" s="37" t="s">
        <v>1244</v>
      </c>
      <c r="C35" s="37"/>
      <c r="D35" s="37"/>
      <c r="E35" s="912">
        <v>10000</v>
      </c>
      <c r="F35" s="37"/>
      <c r="G35" s="37"/>
      <c r="H35" s="37"/>
      <c r="I35" s="37"/>
      <c r="J35" s="37"/>
      <c r="K35" s="37"/>
      <c r="L35" s="37"/>
      <c r="M35" s="37"/>
      <c r="N35" s="328"/>
    </row>
    <row r="36" spans="1:14">
      <c r="A36" s="37"/>
      <c r="B36" s="37"/>
      <c r="C36" s="37"/>
      <c r="D36" s="37"/>
      <c r="E36" s="37"/>
      <c r="F36" s="37"/>
      <c r="G36" s="37"/>
      <c r="H36" s="37"/>
      <c r="I36" s="37"/>
      <c r="J36" s="37"/>
      <c r="K36" s="37"/>
      <c r="L36" s="37"/>
      <c r="M36" s="37"/>
      <c r="N36" s="328"/>
    </row>
    <row r="37" spans="1:14">
      <c r="A37" s="37"/>
      <c r="B37" s="37"/>
      <c r="C37" s="1778" t="s">
        <v>1243</v>
      </c>
      <c r="D37" s="1850" t="s">
        <v>1242</v>
      </c>
      <c r="E37" s="1850"/>
      <c r="F37" s="1850"/>
      <c r="G37" s="37"/>
      <c r="H37" s="37"/>
      <c r="I37" s="37"/>
      <c r="J37" s="37"/>
      <c r="K37" s="37"/>
      <c r="L37" s="37"/>
      <c r="M37" s="37"/>
      <c r="N37" s="328"/>
    </row>
    <row r="38" spans="1:14">
      <c r="A38" s="37"/>
      <c r="B38" s="37"/>
      <c r="C38" s="1849"/>
      <c r="D38" s="631" t="s">
        <v>610</v>
      </c>
      <c r="E38" s="631" t="s">
        <v>1233</v>
      </c>
      <c r="F38" s="631" t="s">
        <v>1232</v>
      </c>
      <c r="G38" s="37"/>
      <c r="H38" s="37"/>
      <c r="I38" s="37"/>
      <c r="J38" s="37"/>
      <c r="K38" s="37"/>
      <c r="L38" s="37"/>
      <c r="M38" s="37"/>
      <c r="N38" s="328"/>
    </row>
    <row r="39" spans="1:14">
      <c r="A39" s="37"/>
      <c r="B39" s="37"/>
      <c r="C39" s="632" t="s">
        <v>1241</v>
      </c>
      <c r="D39" s="912">
        <v>15000</v>
      </c>
      <c r="E39" s="912">
        <f>MIN(E35,D39)</f>
        <v>10000</v>
      </c>
      <c r="F39" s="912">
        <f>D39-E39</f>
        <v>5000</v>
      </c>
      <c r="G39" s="37"/>
      <c r="H39" s="37"/>
      <c r="I39" s="37"/>
      <c r="J39" s="37"/>
      <c r="K39" s="37"/>
      <c r="L39" s="37"/>
      <c r="M39" s="37"/>
      <c r="N39" s="328"/>
    </row>
    <row r="40" spans="1:14">
      <c r="A40" s="37"/>
      <c r="B40" s="37"/>
      <c r="C40" s="632" t="s">
        <v>1240</v>
      </c>
      <c r="D40" s="912">
        <v>40000</v>
      </c>
      <c r="E40" s="912">
        <f>MIN(E35,D40)</f>
        <v>10000</v>
      </c>
      <c r="F40" s="912">
        <f>D40-E40</f>
        <v>30000</v>
      </c>
      <c r="G40" s="37"/>
      <c r="H40" s="37"/>
      <c r="I40" s="37"/>
      <c r="J40" s="37"/>
      <c r="K40" s="37"/>
      <c r="L40" s="37"/>
      <c r="M40" s="37"/>
      <c r="N40" s="328"/>
    </row>
    <row r="41" spans="1:14">
      <c r="A41" s="37"/>
      <c r="B41" s="37"/>
      <c r="C41" s="632" t="s">
        <v>1239</v>
      </c>
      <c r="D41" s="912">
        <v>5000</v>
      </c>
      <c r="E41" s="912">
        <f>MIN(E35,D41)</f>
        <v>5000</v>
      </c>
      <c r="F41" s="912">
        <f>D41-E41</f>
        <v>0</v>
      </c>
      <c r="G41" s="37"/>
      <c r="H41" s="37"/>
      <c r="I41" s="37"/>
      <c r="J41" s="37"/>
      <c r="K41" s="37"/>
      <c r="L41" s="37"/>
      <c r="M41" s="37"/>
      <c r="N41" s="328"/>
    </row>
    <row r="42" spans="1:14">
      <c r="A42" s="37"/>
      <c r="B42" s="37"/>
      <c r="C42" s="631" t="s">
        <v>1238</v>
      </c>
      <c r="D42" s="914">
        <v>20000</v>
      </c>
      <c r="E42" s="914">
        <f>D42</f>
        <v>20000</v>
      </c>
      <c r="F42" s="914">
        <f>D42-E42</f>
        <v>0</v>
      </c>
      <c r="G42" s="37"/>
      <c r="H42" s="37"/>
      <c r="I42" s="37"/>
      <c r="J42" s="37"/>
      <c r="K42" s="37"/>
      <c r="L42" s="37"/>
      <c r="M42" s="37"/>
      <c r="N42" s="328"/>
    </row>
    <row r="43" spans="1:14">
      <c r="A43" s="37"/>
      <c r="B43" s="37"/>
      <c r="C43" s="632" t="s">
        <v>98</v>
      </c>
      <c r="D43" s="912">
        <f>SUM(D39:D42)</f>
        <v>80000</v>
      </c>
      <c r="E43" s="912">
        <f>SUM(E39:E42)</f>
        <v>45000</v>
      </c>
      <c r="F43" s="912">
        <f>SUM(F39:F42)</f>
        <v>35000</v>
      </c>
      <c r="G43" s="37"/>
      <c r="H43" s="37"/>
      <c r="I43" s="37"/>
      <c r="J43" s="37"/>
      <c r="K43" s="37"/>
      <c r="L43" s="37"/>
      <c r="M43" s="37"/>
      <c r="N43" s="328"/>
    </row>
    <row r="44" spans="1:14">
      <c r="A44" s="37"/>
      <c r="B44" s="37"/>
      <c r="C44" s="37"/>
      <c r="D44" s="37"/>
      <c r="E44" s="37"/>
      <c r="F44" s="37"/>
      <c r="G44" s="37"/>
      <c r="H44" s="37"/>
      <c r="I44" s="37"/>
      <c r="J44" s="37"/>
      <c r="K44" s="37"/>
      <c r="L44" s="37"/>
      <c r="M44" s="37"/>
      <c r="N44" s="328"/>
    </row>
    <row r="45" spans="1:14">
      <c r="A45" s="37"/>
      <c r="B45" s="37"/>
      <c r="C45" s="37"/>
      <c r="D45" s="37"/>
      <c r="E45" s="1850" t="s">
        <v>718</v>
      </c>
      <c r="F45" s="1850"/>
      <c r="G45" s="37"/>
      <c r="H45" s="37"/>
      <c r="I45" s="37"/>
      <c r="J45" s="37"/>
      <c r="K45" s="37"/>
      <c r="L45" s="37"/>
      <c r="M45" s="37"/>
      <c r="N45" s="328"/>
    </row>
    <row r="46" spans="1:14">
      <c r="A46" s="565" t="s">
        <v>1237</v>
      </c>
      <c r="B46" s="565" t="s">
        <v>1236</v>
      </c>
      <c r="C46" s="565" t="s">
        <v>1235</v>
      </c>
      <c r="D46" s="565" t="s">
        <v>1234</v>
      </c>
      <c r="E46" s="565" t="s">
        <v>1233</v>
      </c>
      <c r="F46" s="565" t="s">
        <v>1232</v>
      </c>
      <c r="G46" s="37"/>
      <c r="H46" s="37"/>
      <c r="I46" s="37"/>
      <c r="J46" s="37"/>
      <c r="K46" s="37"/>
      <c r="L46" s="37"/>
      <c r="M46" s="37"/>
      <c r="N46" s="328"/>
    </row>
    <row r="47" spans="1:14">
      <c r="A47" s="632" t="s">
        <v>1231</v>
      </c>
      <c r="B47" s="912">
        <v>1400000</v>
      </c>
      <c r="C47" s="916">
        <v>0.1</v>
      </c>
      <c r="D47" s="916">
        <v>0.5</v>
      </c>
      <c r="E47" s="912">
        <f>C47*B47/100*D47</f>
        <v>700</v>
      </c>
      <c r="F47" s="912">
        <f>(C47)*B47/100*(1-D47)</f>
        <v>700</v>
      </c>
      <c r="G47" s="37"/>
      <c r="H47" s="37"/>
      <c r="I47" s="37"/>
      <c r="J47" s="37"/>
      <c r="K47" s="37"/>
      <c r="L47" s="37"/>
      <c r="M47" s="37"/>
      <c r="N47" s="328"/>
    </row>
    <row r="48" spans="1:14">
      <c r="A48" s="632" t="s">
        <v>1230</v>
      </c>
      <c r="B48" s="912">
        <v>1600000</v>
      </c>
      <c r="C48" s="916">
        <v>2</v>
      </c>
      <c r="D48" s="916">
        <v>0.4</v>
      </c>
      <c r="E48" s="912">
        <f>C48*B48/100*D48</f>
        <v>12800</v>
      </c>
      <c r="F48" s="912">
        <f>(C48)*B48/100*(1-D48)</f>
        <v>19200</v>
      </c>
      <c r="G48" s="37"/>
      <c r="H48" s="37"/>
      <c r="I48" s="37"/>
      <c r="J48" s="37"/>
      <c r="K48" s="37"/>
      <c r="L48" s="37"/>
      <c r="M48" s="37"/>
      <c r="N48" s="328"/>
    </row>
    <row r="49" spans="1:14">
      <c r="A49" s="631" t="s">
        <v>1229</v>
      </c>
      <c r="B49" s="914">
        <v>1000000</v>
      </c>
      <c r="C49" s="915">
        <v>1.5</v>
      </c>
      <c r="D49" s="915">
        <v>0.3</v>
      </c>
      <c r="E49" s="914">
        <f>C49*B49/100*D49</f>
        <v>4500</v>
      </c>
      <c r="F49" s="914">
        <f>(C49)*B49/100*(1-D49)</f>
        <v>10500</v>
      </c>
      <c r="G49" s="37"/>
      <c r="H49" s="37"/>
      <c r="I49" s="37"/>
      <c r="J49" s="37"/>
      <c r="K49" s="37"/>
      <c r="L49" s="37"/>
      <c r="M49" s="37"/>
      <c r="N49" s="328"/>
    </row>
    <row r="50" spans="1:14">
      <c r="A50" s="632" t="s">
        <v>98</v>
      </c>
      <c r="B50" s="37"/>
      <c r="C50" s="37"/>
      <c r="D50" s="37"/>
      <c r="E50" s="912">
        <f>SUM(E47:E49)</f>
        <v>18000</v>
      </c>
      <c r="F50" s="912">
        <f>SUM(F47:F49)</f>
        <v>30400</v>
      </c>
      <c r="G50" s="37"/>
      <c r="H50" s="37"/>
      <c r="I50" s="37"/>
      <c r="J50" s="37"/>
      <c r="K50" s="37"/>
      <c r="L50" s="37"/>
      <c r="M50" s="37"/>
      <c r="N50" s="328"/>
    </row>
    <row r="51" spans="1:14">
      <c r="A51" s="37"/>
      <c r="B51" s="37"/>
      <c r="C51" s="37"/>
      <c r="D51" s="37"/>
      <c r="E51" s="37"/>
      <c r="F51" s="37"/>
      <c r="G51" s="37"/>
      <c r="H51" s="37"/>
      <c r="I51" s="37"/>
      <c r="J51" s="37"/>
      <c r="K51" s="37"/>
      <c r="L51" s="37"/>
      <c r="M51" s="37"/>
      <c r="N51" s="328"/>
    </row>
    <row r="52" spans="1:14">
      <c r="A52" s="913" t="s">
        <v>350</v>
      </c>
      <c r="B52" s="429">
        <f>E43</f>
        <v>45000</v>
      </c>
      <c r="C52" s="37"/>
      <c r="D52" s="37"/>
      <c r="E52" s="37"/>
      <c r="F52" s="37"/>
      <c r="G52" s="37"/>
      <c r="H52" s="37"/>
      <c r="I52" s="37"/>
      <c r="J52" s="37"/>
      <c r="K52" s="37"/>
      <c r="L52" s="37"/>
      <c r="M52" s="37"/>
      <c r="N52" s="328"/>
    </row>
    <row r="53" spans="1:14">
      <c r="A53" s="912" t="s">
        <v>344</v>
      </c>
      <c r="B53" s="429">
        <f>E50</f>
        <v>18000</v>
      </c>
      <c r="C53" s="37"/>
      <c r="D53" s="37"/>
      <c r="E53" s="37"/>
      <c r="F53" s="37"/>
      <c r="G53" s="37"/>
      <c r="H53" s="37"/>
      <c r="I53" s="37"/>
      <c r="J53" s="37"/>
      <c r="K53" s="37"/>
      <c r="L53" s="37"/>
      <c r="M53" s="37"/>
      <c r="N53" s="328"/>
    </row>
    <row r="54" spans="1:14">
      <c r="A54" s="911" t="s">
        <v>974</v>
      </c>
      <c r="B54" s="429">
        <f>F49</f>
        <v>10500</v>
      </c>
      <c r="C54" s="37"/>
      <c r="D54" s="37"/>
      <c r="E54" s="37"/>
      <c r="F54" s="37"/>
      <c r="G54" s="37"/>
      <c r="H54" s="37"/>
      <c r="I54" s="37"/>
      <c r="J54" s="37"/>
      <c r="K54" s="37"/>
      <c r="L54" s="37"/>
      <c r="M54" s="37"/>
      <c r="N54" s="328"/>
    </row>
    <row r="55" spans="1:14">
      <c r="M55" s="328"/>
      <c r="N55" s="328"/>
    </row>
    <row r="56" spans="1:14" ht="15.6" customHeight="1">
      <c r="A56" s="22" t="s">
        <v>1228</v>
      </c>
      <c r="B56" s="22"/>
      <c r="C56" s="22"/>
      <c r="D56" s="22"/>
      <c r="E56" s="22"/>
      <c r="F56" s="22"/>
      <c r="G56" s="22"/>
      <c r="H56" s="22"/>
      <c r="I56" s="22"/>
      <c r="J56" s="22"/>
      <c r="K56" s="22"/>
      <c r="L56" s="2"/>
      <c r="M56" s="328"/>
      <c r="N56" s="328"/>
    </row>
    <row r="57" spans="1:14">
      <c r="A57" s="22"/>
      <c r="B57" s="22"/>
      <c r="C57" s="22"/>
      <c r="D57" s="22"/>
      <c r="E57" s="22"/>
      <c r="F57" s="22"/>
      <c r="G57" s="22"/>
      <c r="H57" s="22"/>
      <c r="I57" s="22"/>
      <c r="J57" s="22"/>
      <c r="K57" s="22"/>
      <c r="L57" s="2"/>
      <c r="M57" s="328"/>
      <c r="N57" s="328"/>
    </row>
    <row r="58" spans="1:14">
      <c r="A58" s="22"/>
      <c r="B58" s="22"/>
      <c r="C58" s="44"/>
      <c r="D58" s="22"/>
      <c r="E58" s="22"/>
      <c r="F58" s="22"/>
      <c r="G58" s="22"/>
      <c r="H58" s="22"/>
      <c r="I58" s="22"/>
      <c r="J58" s="22"/>
      <c r="K58" s="22"/>
      <c r="L58" s="2"/>
      <c r="M58" s="328"/>
      <c r="N58" s="328"/>
    </row>
    <row r="59" spans="1:14">
      <c r="A59" s="22"/>
      <c r="B59" s="22"/>
      <c r="C59" s="22"/>
      <c r="D59" s="22"/>
      <c r="E59" s="22"/>
      <c r="F59" s="22"/>
      <c r="G59" s="22"/>
      <c r="H59" s="22"/>
      <c r="I59" s="22"/>
      <c r="J59" s="22"/>
      <c r="K59" s="22"/>
      <c r="L59" s="2"/>
      <c r="M59" s="328"/>
      <c r="N59" s="328"/>
    </row>
    <row r="60" spans="1:14">
      <c r="A60" s="22"/>
      <c r="B60" s="22"/>
      <c r="C60" s="22"/>
      <c r="D60" s="22"/>
      <c r="E60" s="22"/>
      <c r="F60" s="22"/>
      <c r="G60" s="22"/>
      <c r="H60" s="22"/>
      <c r="I60" s="22"/>
      <c r="J60" s="22"/>
      <c r="K60" s="22"/>
      <c r="L60" s="2"/>
      <c r="M60" s="328"/>
      <c r="N60" s="328"/>
    </row>
    <row r="61" spans="1:14">
      <c r="A61" s="2"/>
      <c r="B61" s="2"/>
      <c r="C61" s="2"/>
      <c r="D61" s="2"/>
      <c r="E61" s="2"/>
      <c r="F61" s="2"/>
      <c r="G61" s="2"/>
      <c r="H61" s="2"/>
      <c r="I61" s="2"/>
      <c r="J61" s="2"/>
      <c r="K61" s="2"/>
      <c r="L61" s="2"/>
    </row>
    <row r="62" spans="1:14">
      <c r="A62" s="577" t="s">
        <v>4</v>
      </c>
      <c r="B62" s="22" t="s">
        <v>1227</v>
      </c>
      <c r="C62" s="22"/>
      <c r="D62" s="22"/>
      <c r="E62" s="22"/>
      <c r="F62" s="22"/>
      <c r="G62" s="22"/>
      <c r="H62" s="22"/>
      <c r="I62" s="22"/>
      <c r="J62" s="22"/>
      <c r="K62" s="22"/>
      <c r="L62" s="22"/>
    </row>
    <row r="63" spans="1:14">
      <c r="A63" s="2"/>
      <c r="B63" s="2"/>
      <c r="C63" s="2"/>
      <c r="D63" s="2"/>
      <c r="E63" s="2"/>
      <c r="F63" s="2"/>
      <c r="G63" s="22"/>
      <c r="H63" s="22"/>
      <c r="I63" s="22"/>
      <c r="J63" s="22"/>
      <c r="K63" s="22"/>
      <c r="L63" s="22"/>
    </row>
    <row r="64" spans="1:14">
      <c r="A64" s="37"/>
      <c r="B64" s="37"/>
      <c r="C64" s="37"/>
      <c r="D64" s="37"/>
      <c r="E64" s="37"/>
      <c r="F64" s="37"/>
      <c r="G64" s="37"/>
      <c r="H64" s="37"/>
      <c r="I64" s="37"/>
      <c r="J64" s="37"/>
      <c r="K64" s="37"/>
      <c r="L64" s="37"/>
    </row>
    <row r="65" spans="1:12">
      <c r="A65" s="37" t="s">
        <v>650</v>
      </c>
      <c r="B65" s="37"/>
      <c r="C65" s="37"/>
      <c r="D65" s="37"/>
      <c r="E65" s="37"/>
      <c r="F65" s="37"/>
      <c r="G65" s="37"/>
      <c r="H65" s="37"/>
      <c r="I65" s="37"/>
      <c r="J65" s="37"/>
      <c r="K65" s="37"/>
      <c r="L65" s="37"/>
    </row>
    <row r="66" spans="1:12">
      <c r="C66" s="37"/>
      <c r="D66" s="37"/>
      <c r="E66" s="37"/>
      <c r="F66" s="37"/>
      <c r="G66" s="37"/>
      <c r="H66" s="37"/>
      <c r="I66" s="37"/>
      <c r="J66" s="37"/>
      <c r="K66" s="37"/>
      <c r="L66" s="37"/>
    </row>
    <row r="67" spans="1:12">
      <c r="A67" s="1" t="s">
        <v>1226</v>
      </c>
      <c r="B67" s="1">
        <v>0.5</v>
      </c>
      <c r="C67" s="37"/>
      <c r="D67" s="37"/>
      <c r="E67" s="37"/>
      <c r="F67" s="37"/>
      <c r="G67" s="37"/>
      <c r="H67" s="37"/>
      <c r="I67" s="37"/>
      <c r="J67" s="37"/>
      <c r="K67" s="37"/>
      <c r="L67" s="37"/>
    </row>
    <row r="68" spans="1:12">
      <c r="A68" s="1" t="s">
        <v>1225</v>
      </c>
      <c r="B68" s="429">
        <v>50000</v>
      </c>
      <c r="C68" s="37"/>
      <c r="D68" s="37"/>
      <c r="E68" s="37"/>
      <c r="F68" s="37"/>
      <c r="G68" s="37"/>
      <c r="H68" s="37"/>
      <c r="I68" s="37"/>
      <c r="J68" s="37"/>
      <c r="K68" s="37"/>
      <c r="L68" s="37"/>
    </row>
    <row r="69" spans="1:12">
      <c r="A69" s="1" t="s">
        <v>1224</v>
      </c>
      <c r="B69" s="910">
        <f>(E43+(1-B67)*F50+B68+B67*F43)/(E50+(1-B67)*F50+B68+B67*F50)</f>
        <v>1.2977642276422765</v>
      </c>
      <c r="C69" s="37"/>
      <c r="D69" s="37"/>
      <c r="E69" s="37"/>
      <c r="F69" s="37"/>
      <c r="G69" s="37"/>
      <c r="H69" s="37"/>
      <c r="I69" s="37"/>
      <c r="J69" s="37"/>
      <c r="K69" s="37"/>
      <c r="L69" s="37"/>
    </row>
    <row r="71" spans="1:12">
      <c r="A71" s="341" t="s">
        <v>1223</v>
      </c>
      <c r="B71" s="2"/>
      <c r="C71" s="2"/>
      <c r="D71" s="2"/>
      <c r="E71" s="2"/>
      <c r="F71" s="2"/>
      <c r="G71" s="2"/>
      <c r="H71" s="2"/>
      <c r="I71" s="2"/>
      <c r="J71" s="2"/>
      <c r="K71" s="2"/>
      <c r="L71" s="2"/>
    </row>
    <row r="72" spans="1:12">
      <c r="A72" s="37"/>
      <c r="B72" s="37"/>
      <c r="C72" s="37"/>
      <c r="D72" s="37"/>
      <c r="E72" s="37"/>
      <c r="F72" s="37"/>
      <c r="G72" s="37"/>
      <c r="H72" s="37"/>
      <c r="I72" s="37"/>
      <c r="J72" s="37"/>
      <c r="K72" s="37"/>
      <c r="L72" s="37"/>
    </row>
  </sheetData>
  <mergeCells count="21">
    <mergeCell ref="C37:C38"/>
    <mergeCell ref="D37:F37"/>
    <mergeCell ref="E45:F45"/>
    <mergeCell ref="B17:C17"/>
    <mergeCell ref="E17:F17"/>
    <mergeCell ref="B18:C18"/>
    <mergeCell ref="E18:F18"/>
    <mergeCell ref="B19:C19"/>
    <mergeCell ref="E19:F19"/>
    <mergeCell ref="B13:C13"/>
    <mergeCell ref="D13:E13"/>
    <mergeCell ref="B14:C14"/>
    <mergeCell ref="D14:E14"/>
    <mergeCell ref="B16:C16"/>
    <mergeCell ref="E16:F16"/>
    <mergeCell ref="B10:C10"/>
    <mergeCell ref="D10:E10"/>
    <mergeCell ref="B11:C11"/>
    <mergeCell ref="D11:E11"/>
    <mergeCell ref="B12:C12"/>
    <mergeCell ref="D12:E12"/>
  </mergeCells>
  <pageMargins left="0.39370078740157483" right="0.39370078740157483" top="0.39370078740157483" bottom="0.39370078740157483" header="0.31496062992125984" footer="0.31496062992125984"/>
  <pageSetup scale="79" orientation="portrait" verticalDpi="1200" r:id="rId1"/>
  <headerFooter>
    <oddFooter>&amp;L&amp;F [&amp;A]&amp;R&amp;P of &amp;N</oddFooter>
  </headerFooter>
  <drawing r:id="rId2"/>
  <legacyDrawing r:id="rId3"/>
  <oleObjects>
    <mc:AlternateContent xmlns:mc="http://schemas.openxmlformats.org/markup-compatibility/2006">
      <mc:Choice Requires="x14">
        <oleObject progId="Equation.DSMT4" shapeId="19457" r:id="rId4">
          <objectPr defaultSize="0" autoPict="0" r:id="rId5">
            <anchor moveWithCells="1" sizeWithCells="1">
              <from>
                <xdr:col>1</xdr:col>
                <xdr:colOff>76200</xdr:colOff>
                <xdr:row>56</xdr:row>
                <xdr:rowOff>152400</xdr:rowOff>
              </from>
              <to>
                <xdr:col>3</xdr:col>
                <xdr:colOff>777240</xdr:colOff>
                <xdr:row>58</xdr:row>
                <xdr:rowOff>182880</xdr:rowOff>
              </to>
            </anchor>
          </objectPr>
        </oleObject>
      </mc:Choice>
      <mc:Fallback>
        <oleObject progId="Equation.DSMT4" shapeId="19457" r:id="rId4"/>
      </mc:Fallback>
    </mc:AlternateContent>
  </oleObjec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9CC09-CD36-4536-8E37-30617114E446}">
  <dimension ref="A1:R65"/>
  <sheetViews>
    <sheetView zoomScaleNormal="100" workbookViewId="0"/>
  </sheetViews>
  <sheetFormatPr defaultColWidth="8.88671875" defaultRowHeight="15.6"/>
  <cols>
    <col min="1" max="1" width="8.88671875" style="1" customWidth="1"/>
    <col min="2" max="2" width="12.33203125" style="1" customWidth="1"/>
    <col min="3" max="4" width="16.77734375" style="1" customWidth="1"/>
    <col min="5" max="6" width="13.33203125" style="1" customWidth="1"/>
    <col min="7" max="9" width="12.77734375" style="1" customWidth="1"/>
    <col min="10" max="16384" width="8.88671875" style="1"/>
  </cols>
  <sheetData>
    <row r="1" spans="1:12" ht="17.399999999999999">
      <c r="A1" s="23" t="s">
        <v>1280</v>
      </c>
      <c r="B1" s="22"/>
      <c r="C1" s="22" t="s">
        <v>1094</v>
      </c>
      <c r="D1" s="22"/>
      <c r="E1" s="22"/>
      <c r="F1" s="22"/>
      <c r="G1" s="22"/>
      <c r="H1" s="22"/>
      <c r="I1" s="22"/>
      <c r="J1" s="22"/>
      <c r="K1" s="22"/>
      <c r="L1" s="2"/>
    </row>
    <row r="2" spans="1:12">
      <c r="A2" s="22"/>
      <c r="B2" s="22"/>
      <c r="C2" s="22"/>
      <c r="D2" s="22"/>
      <c r="E2" s="22"/>
      <c r="F2" s="22"/>
      <c r="G2" s="22"/>
      <c r="H2" s="22"/>
      <c r="I2" s="22"/>
      <c r="J2" s="22"/>
      <c r="K2" s="22"/>
      <c r="L2" s="2"/>
    </row>
    <row r="3" spans="1:12">
      <c r="A3" s="22" t="s">
        <v>1279</v>
      </c>
      <c r="B3" s="22"/>
      <c r="C3" s="22"/>
      <c r="D3" s="22"/>
      <c r="E3" s="22"/>
      <c r="F3" s="22"/>
      <c r="G3" s="22"/>
      <c r="H3" s="22"/>
      <c r="I3" s="22"/>
      <c r="J3" s="22"/>
      <c r="K3" s="22"/>
      <c r="L3" s="2"/>
    </row>
    <row r="4" spans="1:12">
      <c r="A4" s="22"/>
      <c r="B4" s="22"/>
      <c r="C4" s="22"/>
      <c r="D4" s="22"/>
      <c r="E4" s="22"/>
      <c r="F4" s="22"/>
      <c r="G4" s="22"/>
      <c r="H4" s="22"/>
      <c r="I4" s="22"/>
      <c r="J4" s="22"/>
      <c r="K4" s="22"/>
      <c r="L4" s="22"/>
    </row>
    <row r="5" spans="1:12">
      <c r="A5" s="2"/>
      <c r="B5" s="2"/>
      <c r="C5" s="2"/>
      <c r="D5" s="2"/>
      <c r="E5" s="2"/>
      <c r="F5" s="2"/>
      <c r="G5" s="2"/>
      <c r="H5" s="2"/>
      <c r="I5" s="2"/>
      <c r="J5" s="2"/>
      <c r="K5" s="2"/>
      <c r="L5" s="2"/>
    </row>
    <row r="6" spans="1:12">
      <c r="A6" s="341" t="s">
        <v>667</v>
      </c>
      <c r="B6" s="2"/>
      <c r="C6" s="2"/>
      <c r="D6" s="2"/>
      <c r="E6" s="2"/>
      <c r="F6" s="2"/>
      <c r="G6" s="2"/>
      <c r="H6" s="2"/>
      <c r="I6" s="2"/>
      <c r="J6" s="2"/>
      <c r="K6" s="2"/>
      <c r="L6" s="2"/>
    </row>
    <row r="7" spans="1:12">
      <c r="A7" s="2"/>
      <c r="B7" s="2"/>
      <c r="C7" s="2"/>
      <c r="D7" s="2"/>
      <c r="E7" s="2"/>
      <c r="F7" s="2"/>
      <c r="G7" s="2"/>
      <c r="H7" s="2"/>
      <c r="I7" s="2"/>
      <c r="J7" s="2"/>
      <c r="K7" s="2"/>
      <c r="L7" s="2"/>
    </row>
    <row r="8" spans="1:12">
      <c r="A8" s="341" t="s">
        <v>666</v>
      </c>
      <c r="B8" s="2"/>
      <c r="C8" s="2"/>
      <c r="D8" s="2"/>
      <c r="E8" s="2"/>
      <c r="F8" s="2"/>
      <c r="G8" s="2"/>
      <c r="H8" s="2"/>
      <c r="I8" s="2"/>
      <c r="J8" s="2"/>
      <c r="K8" s="2"/>
      <c r="L8" s="2"/>
    </row>
    <row r="9" spans="1:12">
      <c r="A9" s="418"/>
      <c r="B9" s="418"/>
      <c r="C9" s="418"/>
      <c r="D9" s="418"/>
      <c r="E9" s="418"/>
      <c r="F9" s="418"/>
      <c r="G9" s="418"/>
      <c r="H9" s="418"/>
      <c r="I9" s="418"/>
      <c r="J9" s="418"/>
      <c r="K9" s="418"/>
      <c r="L9" s="418"/>
    </row>
    <row r="10" spans="1:12">
      <c r="A10" s="22" t="s">
        <v>1254</v>
      </c>
      <c r="B10" s="22"/>
      <c r="C10" s="22"/>
      <c r="D10" s="22"/>
      <c r="E10" s="22"/>
      <c r="F10" s="22"/>
      <c r="G10" s="22"/>
      <c r="H10" s="22"/>
      <c r="I10" s="22"/>
      <c r="J10" s="22"/>
      <c r="K10" s="22"/>
      <c r="L10" s="2"/>
    </row>
    <row r="11" spans="1:12">
      <c r="A11" s="22"/>
      <c r="B11" s="22"/>
      <c r="C11" s="22"/>
      <c r="D11" s="22"/>
      <c r="E11" s="22"/>
      <c r="F11" s="22"/>
      <c r="G11" s="22"/>
      <c r="H11" s="22"/>
      <c r="I11" s="22"/>
      <c r="J11" s="22"/>
      <c r="K11" s="22"/>
      <c r="L11" s="22"/>
    </row>
    <row r="12" spans="1:12" ht="31.2">
      <c r="A12" s="22"/>
      <c r="B12" s="546" t="s">
        <v>1270</v>
      </c>
      <c r="C12" s="546" t="s">
        <v>1269</v>
      </c>
      <c r="D12" s="332" t="s">
        <v>1268</v>
      </c>
      <c r="E12" s="22"/>
      <c r="F12" s="22"/>
      <c r="G12" s="22"/>
      <c r="H12" s="22"/>
      <c r="I12" s="22"/>
      <c r="J12" s="22"/>
      <c r="K12" s="22"/>
      <c r="L12" s="22"/>
    </row>
    <row r="13" spans="1:12">
      <c r="A13" s="22"/>
      <c r="B13" s="530">
        <v>1</v>
      </c>
      <c r="C13" s="930">
        <v>42736</v>
      </c>
      <c r="D13" s="580">
        <v>7500</v>
      </c>
      <c r="E13" s="22"/>
      <c r="F13" s="22"/>
      <c r="G13" s="22"/>
      <c r="H13" s="22"/>
      <c r="I13" s="22"/>
      <c r="J13" s="22"/>
      <c r="K13" s="22"/>
      <c r="L13" s="22"/>
    </row>
    <row r="14" spans="1:12">
      <c r="A14" s="22"/>
      <c r="B14" s="530">
        <v>2</v>
      </c>
      <c r="C14" s="930">
        <v>42917</v>
      </c>
      <c r="D14" s="530">
        <v>800</v>
      </c>
      <c r="E14" s="22"/>
      <c r="F14" s="22"/>
      <c r="G14" s="22"/>
      <c r="H14" s="22"/>
      <c r="I14" s="22"/>
      <c r="J14" s="22"/>
      <c r="K14" s="22"/>
      <c r="L14" s="22"/>
    </row>
    <row r="15" spans="1:12">
      <c r="A15" s="22"/>
      <c r="B15" s="530">
        <v>3</v>
      </c>
      <c r="C15" s="930">
        <v>42917</v>
      </c>
      <c r="D15" s="580">
        <v>1600</v>
      </c>
      <c r="E15" s="22"/>
      <c r="F15" s="22"/>
      <c r="G15" s="22"/>
      <c r="H15" s="22"/>
      <c r="I15" s="22"/>
      <c r="J15" s="22"/>
      <c r="K15" s="22"/>
      <c r="L15" s="22"/>
    </row>
    <row r="16" spans="1:12">
      <c r="A16" s="22"/>
      <c r="B16" s="530">
        <v>4</v>
      </c>
      <c r="C16" s="930">
        <v>43101</v>
      </c>
      <c r="D16" s="580">
        <v>2400</v>
      </c>
      <c r="E16" s="22"/>
      <c r="F16" s="22"/>
      <c r="G16" s="22"/>
      <c r="H16" s="22"/>
      <c r="I16" s="22"/>
      <c r="J16" s="22"/>
      <c r="K16" s="22"/>
      <c r="L16" s="22"/>
    </row>
    <row r="17" spans="1:18">
      <c r="A17" s="22"/>
      <c r="B17" s="530">
        <v>5</v>
      </c>
      <c r="C17" s="930">
        <v>43101</v>
      </c>
      <c r="D17" s="580">
        <v>6700</v>
      </c>
      <c r="E17" s="22"/>
      <c r="F17" s="22"/>
      <c r="G17" s="22"/>
      <c r="H17" s="22"/>
      <c r="I17" s="22"/>
      <c r="J17" s="22"/>
      <c r="K17" s="22"/>
      <c r="L17" s="22"/>
    </row>
    <row r="18" spans="1:18">
      <c r="A18" s="22"/>
      <c r="B18" s="530">
        <v>6</v>
      </c>
      <c r="C18" s="930">
        <v>43282</v>
      </c>
      <c r="D18" s="580">
        <v>2300</v>
      </c>
      <c r="E18" s="22"/>
      <c r="F18" s="22"/>
      <c r="G18" s="22"/>
      <c r="H18" s="22"/>
      <c r="I18" s="22"/>
      <c r="J18" s="22"/>
      <c r="K18" s="22"/>
      <c r="L18" s="22"/>
    </row>
    <row r="19" spans="1:18">
      <c r="A19" s="22"/>
      <c r="B19" s="530">
        <v>7</v>
      </c>
      <c r="C19" s="930">
        <v>43466</v>
      </c>
      <c r="D19" s="530">
        <v>700</v>
      </c>
      <c r="E19" s="22"/>
      <c r="F19" s="22"/>
      <c r="G19" s="22"/>
      <c r="H19" s="22"/>
      <c r="I19" s="22"/>
      <c r="J19" s="22"/>
      <c r="K19" s="22"/>
      <c r="L19" s="22"/>
    </row>
    <row r="20" spans="1:18">
      <c r="A20" s="22"/>
      <c r="B20" s="530">
        <v>8</v>
      </c>
      <c r="C20" s="930">
        <v>43647</v>
      </c>
      <c r="D20" s="530">
        <v>300</v>
      </c>
      <c r="E20" s="22"/>
      <c r="F20" s="22"/>
      <c r="G20" s="22"/>
      <c r="H20" s="22"/>
      <c r="I20" s="22"/>
      <c r="J20" s="22"/>
      <c r="K20" s="22"/>
      <c r="L20" s="22"/>
    </row>
    <row r="21" spans="1:18">
      <c r="A21" s="22"/>
      <c r="B21" s="530">
        <v>9</v>
      </c>
      <c r="C21" s="930">
        <v>43647</v>
      </c>
      <c r="D21" s="580">
        <v>1100</v>
      </c>
      <c r="E21" s="22"/>
      <c r="F21" s="22"/>
      <c r="G21" s="22"/>
      <c r="H21" s="22"/>
      <c r="I21" s="22"/>
      <c r="J21" s="22"/>
      <c r="K21" s="22"/>
      <c r="L21" s="22"/>
    </row>
    <row r="22" spans="1:18">
      <c r="A22" s="22"/>
      <c r="B22" s="530">
        <v>10</v>
      </c>
      <c r="C22" s="930">
        <v>43647</v>
      </c>
      <c r="D22" s="580">
        <v>4500</v>
      </c>
      <c r="E22" s="22"/>
      <c r="F22" s="22"/>
      <c r="G22" s="22"/>
      <c r="H22" s="22"/>
      <c r="I22" s="22"/>
      <c r="J22" s="22"/>
      <c r="K22" s="22"/>
      <c r="L22" s="22"/>
    </row>
    <row r="23" spans="1:18">
      <c r="A23" s="22"/>
      <c r="B23" s="22"/>
      <c r="C23" s="22"/>
      <c r="D23" s="22"/>
      <c r="E23" s="22"/>
      <c r="F23" s="22"/>
      <c r="G23" s="22"/>
      <c r="H23" s="22"/>
      <c r="I23" s="22"/>
      <c r="J23" s="22"/>
      <c r="K23" s="22"/>
      <c r="L23" s="22"/>
    </row>
    <row r="24" spans="1:18">
      <c r="A24" s="22"/>
      <c r="B24" s="578" t="s">
        <v>653</v>
      </c>
      <c r="C24" s="22" t="s">
        <v>1278</v>
      </c>
      <c r="D24" s="22"/>
      <c r="E24" s="22"/>
      <c r="F24" s="22"/>
      <c r="G24" s="22"/>
      <c r="H24" s="22"/>
      <c r="I24" s="22"/>
      <c r="J24" s="22"/>
      <c r="K24" s="22"/>
      <c r="L24" s="22"/>
    </row>
    <row r="25" spans="1:18">
      <c r="A25" s="22"/>
      <c r="B25" s="578" t="s">
        <v>653</v>
      </c>
      <c r="C25" s="22" t="s">
        <v>1277</v>
      </c>
      <c r="D25" s="22"/>
      <c r="E25" s="22"/>
      <c r="F25" s="22"/>
      <c r="G25" s="22"/>
      <c r="H25" s="22"/>
      <c r="I25" s="22"/>
      <c r="J25" s="22"/>
      <c r="K25" s="22"/>
      <c r="L25" s="22"/>
    </row>
    <row r="26" spans="1:18">
      <c r="A26" s="22"/>
      <c r="B26" s="578" t="s">
        <v>653</v>
      </c>
      <c r="C26" s="22" t="s">
        <v>1276</v>
      </c>
      <c r="D26" s="22"/>
      <c r="E26" s="22"/>
      <c r="F26" s="22"/>
      <c r="G26" s="22"/>
      <c r="H26" s="22"/>
      <c r="I26" s="22"/>
      <c r="J26" s="22"/>
      <c r="K26" s="22"/>
      <c r="L26" s="22"/>
    </row>
    <row r="27" spans="1:18">
      <c r="A27" s="22"/>
      <c r="B27" s="22"/>
      <c r="C27" s="22"/>
      <c r="D27" s="22"/>
      <c r="E27" s="22"/>
      <c r="F27" s="22"/>
      <c r="G27" s="22"/>
      <c r="H27" s="22"/>
      <c r="I27" s="22"/>
      <c r="J27" s="22"/>
      <c r="K27" s="22"/>
      <c r="L27" s="22"/>
    </row>
    <row r="28" spans="1:18">
      <c r="A28" s="418"/>
      <c r="B28" s="418"/>
      <c r="C28" s="418"/>
      <c r="D28" s="418"/>
      <c r="E28" s="418"/>
      <c r="F28" s="418"/>
      <c r="G28" s="418"/>
      <c r="H28" s="418"/>
      <c r="I28" s="418"/>
      <c r="J28" s="418"/>
      <c r="K28" s="418"/>
      <c r="L28" s="418"/>
    </row>
    <row r="29" spans="1:18">
      <c r="A29" s="577" t="s">
        <v>7</v>
      </c>
      <c r="B29" s="22" t="s">
        <v>1275</v>
      </c>
      <c r="C29" s="22"/>
      <c r="D29" s="22"/>
      <c r="E29" s="22"/>
      <c r="F29" s="22"/>
      <c r="G29" s="22"/>
      <c r="H29" s="22"/>
      <c r="I29" s="22"/>
      <c r="J29" s="22"/>
      <c r="K29" s="22"/>
      <c r="L29" s="22"/>
      <c r="M29" s="328"/>
      <c r="N29" s="328"/>
      <c r="O29" s="328"/>
      <c r="P29" s="328"/>
      <c r="Q29" s="328"/>
      <c r="R29" s="328"/>
    </row>
    <row r="30" spans="1:18">
      <c r="A30" s="2"/>
      <c r="B30" s="2"/>
      <c r="C30" s="2"/>
      <c r="D30" s="2"/>
      <c r="E30" s="2"/>
      <c r="F30" s="2"/>
      <c r="G30" s="22"/>
      <c r="H30" s="22"/>
      <c r="I30" s="22"/>
      <c r="J30" s="22"/>
      <c r="K30" s="22"/>
      <c r="L30" s="22"/>
    </row>
    <row r="31" spans="1:18">
      <c r="A31" s="37"/>
      <c r="B31" s="37"/>
      <c r="C31" s="37"/>
      <c r="D31" s="37"/>
      <c r="E31" s="37"/>
      <c r="F31" s="37"/>
      <c r="G31" s="37"/>
      <c r="H31" s="37"/>
      <c r="I31" s="37"/>
      <c r="J31" s="37"/>
      <c r="K31" s="37"/>
      <c r="L31" s="37"/>
      <c r="M31" s="37"/>
    </row>
    <row r="32" spans="1:18">
      <c r="A32" s="37" t="s">
        <v>650</v>
      </c>
      <c r="B32" s="37"/>
      <c r="C32" s="37"/>
      <c r="D32" s="37"/>
      <c r="E32" s="37"/>
      <c r="F32" s="37"/>
      <c r="G32" s="37"/>
      <c r="H32" s="37"/>
      <c r="I32" s="37"/>
      <c r="J32" s="37"/>
      <c r="K32" s="37"/>
      <c r="L32" s="37"/>
      <c r="M32" s="37"/>
      <c r="N32" s="328"/>
    </row>
    <row r="33" spans="1:14">
      <c r="A33" s="37" t="s">
        <v>1274</v>
      </c>
      <c r="B33" s="87"/>
      <c r="C33" s="87"/>
      <c r="D33" s="87"/>
      <c r="E33" s="929">
        <v>44621</v>
      </c>
      <c r="F33" s="37"/>
      <c r="G33" s="37"/>
      <c r="H33" s="87"/>
      <c r="I33" s="37"/>
      <c r="J33" s="37"/>
      <c r="K33" s="37"/>
      <c r="L33" s="37"/>
      <c r="M33" s="37"/>
      <c r="N33" s="328"/>
    </row>
    <row r="34" spans="1:14">
      <c r="A34" s="37"/>
      <c r="B34" s="37"/>
      <c r="C34" s="37"/>
      <c r="D34" s="37"/>
      <c r="E34" s="37"/>
      <c r="F34" s="37"/>
      <c r="G34" s="860" t="s">
        <v>1273</v>
      </c>
      <c r="H34" s="860"/>
      <c r="I34" s="860"/>
      <c r="J34" s="37"/>
      <c r="K34" s="37"/>
      <c r="L34" s="37"/>
      <c r="M34" s="37"/>
      <c r="N34" s="328"/>
    </row>
    <row r="35" spans="1:14">
      <c r="A35" s="37"/>
      <c r="B35" s="37"/>
      <c r="C35" s="37"/>
      <c r="D35" s="860" t="s">
        <v>1272</v>
      </c>
      <c r="E35" s="860"/>
      <c r="F35" s="37"/>
      <c r="G35" s="37"/>
      <c r="H35" s="327" t="s">
        <v>1271</v>
      </c>
      <c r="I35" s="327" t="s">
        <v>1271</v>
      </c>
      <c r="J35" s="37"/>
      <c r="K35" s="37"/>
      <c r="L35" s="37"/>
      <c r="M35" s="37"/>
      <c r="N35" s="328"/>
    </row>
    <row r="36" spans="1:14" ht="31.2">
      <c r="A36" s="576" t="s">
        <v>1270</v>
      </c>
      <c r="B36" s="576" t="s">
        <v>1269</v>
      </c>
      <c r="C36" s="565" t="s">
        <v>1268</v>
      </c>
      <c r="D36" s="576" t="s">
        <v>1267</v>
      </c>
      <c r="E36" s="576" t="s">
        <v>1266</v>
      </c>
      <c r="F36" s="565" t="s">
        <v>1265</v>
      </c>
      <c r="G36" s="565" t="s">
        <v>1264</v>
      </c>
      <c r="H36" s="576">
        <v>500</v>
      </c>
      <c r="I36" s="576">
        <v>1000</v>
      </c>
      <c r="J36" s="37"/>
      <c r="K36" s="37"/>
      <c r="L36" s="37"/>
      <c r="M36" s="37"/>
      <c r="N36" s="328"/>
    </row>
    <row r="37" spans="1:14">
      <c r="A37" s="327">
        <v>1</v>
      </c>
      <c r="B37" s="928">
        <v>42736</v>
      </c>
      <c r="C37" s="429">
        <v>7500</v>
      </c>
      <c r="D37" s="927">
        <f>(12*YEAR(E33)+MONTH(E33))-(12*YEAR(B37)+MONTH(B37))</f>
        <v>62</v>
      </c>
      <c r="E37" s="926">
        <f t="shared" ref="E37:E46" si="0">D37/12</f>
        <v>5.166666666666667</v>
      </c>
      <c r="F37" s="925">
        <f t="shared" ref="F37:F46" si="1">(1.05)^E37</f>
        <v>1.2867022049766927</v>
      </c>
      <c r="G37" s="562">
        <f t="shared" ref="G37:G46" si="2">F37*C37</f>
        <v>9650.2665373251948</v>
      </c>
      <c r="H37" s="562">
        <f>MAX(0,G37-H36)</f>
        <v>9150.2665373251948</v>
      </c>
      <c r="I37" s="562">
        <f>MAX(0,G37-I36)</f>
        <v>8650.2665373251948</v>
      </c>
      <c r="J37" s="37"/>
      <c r="K37" s="37"/>
      <c r="L37" s="37"/>
      <c r="M37" s="37"/>
      <c r="N37" s="328"/>
    </row>
    <row r="38" spans="1:14">
      <c r="A38" s="327">
        <f t="shared" ref="A38:A46" si="3">A37+1</f>
        <v>2</v>
      </c>
      <c r="B38" s="928">
        <v>42917</v>
      </c>
      <c r="C38" s="429">
        <v>800</v>
      </c>
      <c r="D38" s="927">
        <f>(12*YEAR(E33)+MONTH(E33))-(12*YEAR(B38)+MONTH(B38))</f>
        <v>56</v>
      </c>
      <c r="E38" s="926">
        <f t="shared" si="0"/>
        <v>4.666666666666667</v>
      </c>
      <c r="F38" s="925">
        <f t="shared" si="1"/>
        <v>1.2556927756997929</v>
      </c>
      <c r="G38" s="562">
        <f t="shared" si="2"/>
        <v>1004.5542205598343</v>
      </c>
      <c r="H38" s="562">
        <f>MAX(0,G38-H36)</f>
        <v>504.55422055983433</v>
      </c>
      <c r="I38" s="562">
        <f>MAX(0,G38-I36)</f>
        <v>4.5542205598343344</v>
      </c>
      <c r="J38" s="37"/>
      <c r="K38" s="37"/>
      <c r="L38" s="37"/>
      <c r="M38" s="37"/>
      <c r="N38" s="328"/>
    </row>
    <row r="39" spans="1:14">
      <c r="A39" s="327">
        <f t="shared" si="3"/>
        <v>3</v>
      </c>
      <c r="B39" s="928">
        <v>42917</v>
      </c>
      <c r="C39" s="429">
        <v>1600</v>
      </c>
      <c r="D39" s="927">
        <f>(12*YEAR(E33)+MONTH(E33))-(12*YEAR(B39)+MONTH(B39))</f>
        <v>56</v>
      </c>
      <c r="E39" s="926">
        <f t="shared" si="0"/>
        <v>4.666666666666667</v>
      </c>
      <c r="F39" s="925">
        <f t="shared" si="1"/>
        <v>1.2556927756997929</v>
      </c>
      <c r="G39" s="562">
        <f t="shared" si="2"/>
        <v>2009.1084411196687</v>
      </c>
      <c r="H39" s="562">
        <f>MAX(0,G39-H36)</f>
        <v>1509.1084411196687</v>
      </c>
      <c r="I39" s="562">
        <f>MAX(0,G39-I36)</f>
        <v>1009.1084411196687</v>
      </c>
      <c r="J39" s="37"/>
      <c r="K39" s="37"/>
      <c r="L39" s="37"/>
      <c r="M39" s="37"/>
      <c r="N39" s="328"/>
    </row>
    <row r="40" spans="1:14">
      <c r="A40" s="327">
        <f t="shared" si="3"/>
        <v>4</v>
      </c>
      <c r="B40" s="928">
        <v>43101</v>
      </c>
      <c r="C40" s="429">
        <v>2400</v>
      </c>
      <c r="D40" s="927">
        <f>(12*YEAR(E33)+MONTH(E33))-(12*YEAR(B40)+MONTH(B40))</f>
        <v>50</v>
      </c>
      <c r="E40" s="926">
        <f t="shared" si="0"/>
        <v>4.166666666666667</v>
      </c>
      <c r="F40" s="925">
        <f t="shared" si="1"/>
        <v>1.2254306714063739</v>
      </c>
      <c r="G40" s="562">
        <f t="shared" si="2"/>
        <v>2941.0336113752974</v>
      </c>
      <c r="H40" s="562">
        <f>MAX(0,G40-H36)</f>
        <v>2441.0336113752974</v>
      </c>
      <c r="I40" s="562">
        <f>MAX(0,G40-I36)</f>
        <v>1941.0336113752974</v>
      </c>
      <c r="J40" s="37"/>
      <c r="K40" s="37"/>
      <c r="L40" s="37"/>
      <c r="M40" s="37"/>
      <c r="N40" s="328"/>
    </row>
    <row r="41" spans="1:14">
      <c r="A41" s="327">
        <f t="shared" si="3"/>
        <v>5</v>
      </c>
      <c r="B41" s="928">
        <v>43101</v>
      </c>
      <c r="C41" s="429">
        <v>6700</v>
      </c>
      <c r="D41" s="927">
        <f>(12*YEAR(E33)+MONTH(E33))-(12*YEAR(B41)+MONTH(B41))</f>
        <v>50</v>
      </c>
      <c r="E41" s="926">
        <f t="shared" si="0"/>
        <v>4.166666666666667</v>
      </c>
      <c r="F41" s="925">
        <f t="shared" si="1"/>
        <v>1.2254306714063739</v>
      </c>
      <c r="G41" s="562">
        <f t="shared" si="2"/>
        <v>8210.3854984227055</v>
      </c>
      <c r="H41" s="562">
        <f>MAX(0,G41-H36)</f>
        <v>7710.3854984227055</v>
      </c>
      <c r="I41" s="562">
        <f>MAX(0,G41-I36)</f>
        <v>7210.3854984227055</v>
      </c>
      <c r="J41" s="37"/>
      <c r="K41" s="37"/>
      <c r="L41" s="37"/>
      <c r="M41" s="37"/>
      <c r="N41" s="328"/>
    </row>
    <row r="42" spans="1:14">
      <c r="A42" s="327">
        <f t="shared" si="3"/>
        <v>6</v>
      </c>
      <c r="B42" s="928">
        <v>43282</v>
      </c>
      <c r="C42" s="429">
        <v>2300</v>
      </c>
      <c r="D42" s="927">
        <f>(12*YEAR(E33)+MONTH(E33))-(12*YEAR(B42)+MONTH(B42))</f>
        <v>44</v>
      </c>
      <c r="E42" s="926">
        <f t="shared" si="0"/>
        <v>3.6666666666666665</v>
      </c>
      <c r="F42" s="925">
        <f t="shared" si="1"/>
        <v>1.1958978816188501</v>
      </c>
      <c r="G42" s="562">
        <f t="shared" si="2"/>
        <v>2750.5651277233551</v>
      </c>
      <c r="H42" s="562">
        <f>MAX(0,G42-H36)</f>
        <v>2250.5651277233551</v>
      </c>
      <c r="I42" s="562">
        <f>MAX(0,G42-I36)</f>
        <v>1750.5651277233551</v>
      </c>
      <c r="J42" s="37"/>
      <c r="K42" s="37"/>
      <c r="L42" s="37"/>
      <c r="M42" s="37"/>
      <c r="N42" s="328"/>
    </row>
    <row r="43" spans="1:14">
      <c r="A43" s="327">
        <f t="shared" si="3"/>
        <v>7</v>
      </c>
      <c r="B43" s="928">
        <v>43466</v>
      </c>
      <c r="C43" s="429">
        <v>700</v>
      </c>
      <c r="D43" s="927">
        <f>(12*YEAR(E33)+MONTH(E33))-(12*YEAR(B43)+MONTH(B43))</f>
        <v>38</v>
      </c>
      <c r="E43" s="926">
        <f t="shared" si="0"/>
        <v>3.1666666666666665</v>
      </c>
      <c r="F43" s="925">
        <f t="shared" si="1"/>
        <v>1.1670768299108321</v>
      </c>
      <c r="G43" s="562">
        <f t="shared" si="2"/>
        <v>816.95378093758245</v>
      </c>
      <c r="H43" s="562">
        <f>MAX(0,G43-H36)</f>
        <v>316.95378093758245</v>
      </c>
      <c r="I43" s="562">
        <f>MAX(0,G43-I36)</f>
        <v>0</v>
      </c>
      <c r="J43" s="37"/>
      <c r="K43" s="37"/>
      <c r="L43" s="37"/>
      <c r="M43" s="37"/>
      <c r="N43" s="328"/>
    </row>
    <row r="44" spans="1:14">
      <c r="A44" s="327">
        <f t="shared" si="3"/>
        <v>8</v>
      </c>
      <c r="B44" s="928">
        <v>43647</v>
      </c>
      <c r="C44" s="429">
        <v>300</v>
      </c>
      <c r="D44" s="927">
        <f>(12*YEAR(E33)+MONTH(E33))-(12*YEAR(B44)+MONTH(B44))</f>
        <v>32</v>
      </c>
      <c r="E44" s="926">
        <f t="shared" si="0"/>
        <v>2.6666666666666665</v>
      </c>
      <c r="F44" s="925">
        <f t="shared" si="1"/>
        <v>1.1389503634465239</v>
      </c>
      <c r="G44" s="562">
        <f t="shared" si="2"/>
        <v>341.68510903395719</v>
      </c>
      <c r="H44" s="562">
        <f>MAX(0,G44-H36)</f>
        <v>0</v>
      </c>
      <c r="I44" s="562">
        <f>MAX(0,G44-I36)</f>
        <v>0</v>
      </c>
      <c r="J44" s="37"/>
      <c r="K44" s="37"/>
      <c r="L44" s="37"/>
      <c r="M44" s="37"/>
      <c r="N44" s="328"/>
    </row>
    <row r="45" spans="1:14">
      <c r="A45" s="327">
        <f t="shared" si="3"/>
        <v>9</v>
      </c>
      <c r="B45" s="928">
        <v>43647</v>
      </c>
      <c r="C45" s="429">
        <v>1100</v>
      </c>
      <c r="D45" s="927">
        <f>(12*YEAR(E33)+MONTH(E33))-(12*YEAR(B45)+MONTH(B45))</f>
        <v>32</v>
      </c>
      <c r="E45" s="926">
        <f t="shared" si="0"/>
        <v>2.6666666666666665</v>
      </c>
      <c r="F45" s="925">
        <f t="shared" si="1"/>
        <v>1.1389503634465239</v>
      </c>
      <c r="G45" s="562">
        <f t="shared" si="2"/>
        <v>1252.8453997911763</v>
      </c>
      <c r="H45" s="562">
        <f>MAX(0,G45-H36)</f>
        <v>752.84539979117631</v>
      </c>
      <c r="I45" s="562">
        <f>MAX(0,G45-I36)</f>
        <v>252.84539979117631</v>
      </c>
      <c r="J45" s="37"/>
      <c r="K45" s="37"/>
      <c r="L45" s="37"/>
      <c r="M45" s="37"/>
      <c r="N45" s="328"/>
    </row>
    <row r="46" spans="1:14">
      <c r="A46" s="576">
        <f t="shared" si="3"/>
        <v>10</v>
      </c>
      <c r="B46" s="857">
        <v>43647</v>
      </c>
      <c r="C46" s="924">
        <v>4500</v>
      </c>
      <c r="D46" s="923">
        <f>(12*YEAR(E33)+MONTH(E33))-(12*YEAR(B46)+MONTH(B46))</f>
        <v>32</v>
      </c>
      <c r="E46" s="922">
        <f t="shared" si="0"/>
        <v>2.6666666666666665</v>
      </c>
      <c r="F46" s="921">
        <f t="shared" si="1"/>
        <v>1.1389503634465239</v>
      </c>
      <c r="G46" s="920">
        <f t="shared" si="2"/>
        <v>5125.2766355093572</v>
      </c>
      <c r="H46" s="920">
        <f>MAX(0,G46-H36)</f>
        <v>4625.2766355093572</v>
      </c>
      <c r="I46" s="920">
        <f>MAX(0,G46-I36)</f>
        <v>4125.2766355093572</v>
      </c>
      <c r="J46" s="37"/>
      <c r="K46" s="37"/>
      <c r="L46" s="37"/>
      <c r="M46" s="37"/>
      <c r="N46" s="328"/>
    </row>
    <row r="47" spans="1:14">
      <c r="A47" s="37"/>
      <c r="B47" s="37"/>
      <c r="C47" s="37"/>
      <c r="D47" s="37"/>
      <c r="E47" s="37"/>
      <c r="F47" s="327" t="s">
        <v>98</v>
      </c>
      <c r="G47" s="562">
        <f>SUM(G37:G46)</f>
        <v>34102.674361798126</v>
      </c>
      <c r="H47" s="562">
        <f>SUM(H37:H46)</f>
        <v>29260.989252764171</v>
      </c>
      <c r="I47" s="562">
        <f>SUM(I37:I46)</f>
        <v>24944.035471826588</v>
      </c>
      <c r="J47" s="37"/>
      <c r="K47" s="37"/>
      <c r="L47" s="37"/>
      <c r="M47" s="37"/>
      <c r="N47" s="328"/>
    </row>
    <row r="48" spans="1:14">
      <c r="A48" s="638"/>
      <c r="B48" s="37"/>
      <c r="C48" s="37"/>
      <c r="D48" s="37"/>
      <c r="E48" s="37"/>
      <c r="F48" s="327"/>
      <c r="G48" s="429"/>
      <c r="H48" s="429"/>
      <c r="I48" s="429"/>
      <c r="J48" s="37"/>
      <c r="K48" s="37"/>
      <c r="L48" s="37"/>
      <c r="M48" s="37"/>
      <c r="N48" s="328"/>
    </row>
    <row r="49" spans="1:14">
      <c r="A49" s="638"/>
      <c r="B49" s="37"/>
      <c r="C49" s="37"/>
      <c r="D49" s="37"/>
      <c r="E49" s="37"/>
      <c r="F49" s="37" t="s">
        <v>1263</v>
      </c>
      <c r="G49" s="37"/>
      <c r="H49" s="919">
        <f>H47/G47</f>
        <v>0.85802623402293576</v>
      </c>
      <c r="I49" s="919">
        <f>I47/G47</f>
        <v>0.73143927679082377</v>
      </c>
      <c r="J49" s="37"/>
      <c r="K49" s="37"/>
      <c r="L49" s="37"/>
      <c r="M49" s="37"/>
      <c r="N49" s="328"/>
    </row>
    <row r="50" spans="1:14">
      <c r="M50" s="328"/>
      <c r="N50" s="328"/>
    </row>
    <row r="51" spans="1:14">
      <c r="A51" s="341" t="s">
        <v>1262</v>
      </c>
      <c r="B51" s="2"/>
      <c r="C51" s="2"/>
      <c r="D51" s="2"/>
      <c r="E51" s="2"/>
      <c r="F51" s="2"/>
      <c r="G51" s="2"/>
      <c r="H51" s="2"/>
      <c r="I51" s="2"/>
      <c r="J51" s="2"/>
      <c r="K51" s="2"/>
      <c r="L51" s="2"/>
      <c r="M51" s="328"/>
      <c r="N51" s="328"/>
    </row>
    <row r="52" spans="1:14">
      <c r="A52" s="2"/>
      <c r="B52" s="2"/>
      <c r="C52" s="2"/>
      <c r="D52" s="2"/>
      <c r="E52" s="2"/>
      <c r="F52" s="2"/>
      <c r="G52" s="2"/>
      <c r="H52" s="2"/>
      <c r="I52" s="2"/>
      <c r="J52" s="2"/>
      <c r="K52" s="2"/>
      <c r="L52" s="2"/>
    </row>
    <row r="53" spans="1:14">
      <c r="A53" s="577" t="s">
        <v>48</v>
      </c>
      <c r="B53" s="22" t="s">
        <v>1261</v>
      </c>
      <c r="C53" s="22"/>
      <c r="D53" s="22"/>
      <c r="E53" s="22"/>
      <c r="F53" s="22"/>
      <c r="G53" s="22"/>
      <c r="H53" s="22"/>
      <c r="I53" s="22"/>
      <c r="J53" s="22"/>
      <c r="K53" s="22"/>
      <c r="L53" s="22"/>
    </row>
    <row r="54" spans="1:14">
      <c r="A54" s="2"/>
      <c r="B54" s="2"/>
      <c r="C54" s="2"/>
      <c r="D54" s="2"/>
      <c r="E54" s="2"/>
      <c r="F54" s="2"/>
      <c r="G54" s="22"/>
      <c r="H54" s="22"/>
      <c r="I54" s="22"/>
      <c r="J54" s="22"/>
      <c r="K54" s="22"/>
      <c r="L54" s="22"/>
    </row>
    <row r="55" spans="1:14">
      <c r="A55" s="37"/>
      <c r="B55" s="37"/>
      <c r="C55" s="37"/>
      <c r="D55" s="37"/>
      <c r="E55" s="37"/>
      <c r="F55" s="37"/>
      <c r="G55" s="37"/>
      <c r="H55" s="37"/>
      <c r="I55" s="37"/>
      <c r="J55" s="37"/>
      <c r="K55" s="37"/>
      <c r="L55" s="37"/>
    </row>
    <row r="56" spans="1:14">
      <c r="A56" s="37" t="s">
        <v>650</v>
      </c>
      <c r="B56" s="37"/>
      <c r="C56" s="37"/>
      <c r="D56" s="37"/>
      <c r="E56" s="37"/>
      <c r="F56" s="37"/>
      <c r="G56" s="37"/>
      <c r="H56" s="37"/>
      <c r="I56" s="37"/>
      <c r="J56" s="37"/>
      <c r="K56" s="37"/>
      <c r="L56" s="37"/>
    </row>
    <row r="57" spans="1:14">
      <c r="A57" s="37"/>
      <c r="B57" s="37"/>
      <c r="C57" s="37"/>
      <c r="D57" s="37"/>
      <c r="E57" s="37"/>
      <c r="F57" s="37"/>
      <c r="G57" s="37"/>
      <c r="H57" s="37"/>
      <c r="I57" s="37"/>
      <c r="J57" s="37"/>
      <c r="K57" s="37"/>
      <c r="L57" s="37"/>
    </row>
    <row r="58" spans="1:14">
      <c r="A58" s="37" t="s">
        <v>1260</v>
      </c>
      <c r="B58" s="37"/>
      <c r="C58" s="37"/>
      <c r="D58" s="37"/>
      <c r="E58" s="87"/>
      <c r="F58" s="37"/>
      <c r="G58" s="37"/>
      <c r="H58" s="37"/>
      <c r="I58" s="37"/>
      <c r="J58" s="37"/>
      <c r="K58" s="37"/>
      <c r="L58" s="37"/>
    </row>
    <row r="59" spans="1:14">
      <c r="A59" s="37"/>
      <c r="B59" s="327"/>
      <c r="C59" s="327" t="s">
        <v>1258</v>
      </c>
      <c r="D59" s="327" t="s">
        <v>1259</v>
      </c>
      <c r="E59" s="87"/>
      <c r="M59" s="37"/>
    </row>
    <row r="60" spans="1:14">
      <c r="A60" s="87"/>
      <c r="B60" s="576" t="s">
        <v>1258</v>
      </c>
      <c r="C60" s="576" t="s">
        <v>1257</v>
      </c>
      <c r="D60" s="576" t="s">
        <v>1256</v>
      </c>
      <c r="E60" s="87"/>
      <c r="M60" s="37"/>
    </row>
    <row r="61" spans="1:14">
      <c r="A61" s="87"/>
      <c r="B61" s="327">
        <v>0</v>
      </c>
      <c r="C61" s="918">
        <v>1</v>
      </c>
      <c r="D61" s="327"/>
      <c r="E61" s="87"/>
      <c r="M61" s="37"/>
    </row>
    <row r="62" spans="1:14">
      <c r="A62" s="37"/>
      <c r="B62" s="327">
        <v>500</v>
      </c>
      <c r="C62" s="918">
        <f>H49</f>
        <v>0.85802623402293576</v>
      </c>
      <c r="D62" s="918">
        <f>1000*(C61-C62)/(B62-B61)</f>
        <v>0.28394753195412847</v>
      </c>
      <c r="E62" s="87"/>
    </row>
    <row r="63" spans="1:14">
      <c r="A63" s="37"/>
      <c r="B63" s="327">
        <v>1000</v>
      </c>
      <c r="C63" s="918">
        <f>I49</f>
        <v>0.73143927679082377</v>
      </c>
      <c r="D63" s="918">
        <f>1000*(C62-C63)/(B63-B62)</f>
        <v>0.25317391446422399</v>
      </c>
      <c r="E63" s="87"/>
    </row>
    <row r="64" spans="1:14">
      <c r="A64" s="37" t="s">
        <v>1255</v>
      </c>
      <c r="B64" s="37"/>
      <c r="C64" s="37"/>
      <c r="D64" s="37"/>
      <c r="E64" s="87"/>
    </row>
    <row r="65" spans="1:5">
      <c r="A65" s="37"/>
      <c r="B65" s="37"/>
      <c r="C65" s="37"/>
      <c r="D65" s="37"/>
      <c r="E65" s="37"/>
    </row>
  </sheetData>
  <pageMargins left="0.39370078740157483" right="0.39370078740157483" top="0.39370078740157483" bottom="0.39370078740157483" header="0.31496062992125984" footer="0.31496062992125984"/>
  <pageSetup scale="79" orientation="portrait" verticalDpi="1200" r:id="rId1"/>
  <headerFooter>
    <oddFooter>&amp;L&amp;F [&amp;A]&amp;R&amp;P of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A165A-99EF-4E1E-8564-9CB2EACCC40B}">
  <dimension ref="A1:R98"/>
  <sheetViews>
    <sheetView zoomScaleNormal="100" workbookViewId="0"/>
  </sheetViews>
  <sheetFormatPr defaultColWidth="8.88671875" defaultRowHeight="15.6"/>
  <cols>
    <col min="1" max="3" width="8.88671875" style="1" customWidth="1"/>
    <col min="4" max="4" width="11.77734375" style="1" customWidth="1"/>
    <col min="5" max="6" width="14.77734375" style="1" customWidth="1"/>
    <col min="7" max="7" width="8.88671875" style="1"/>
    <col min="8" max="8" width="8.88671875" style="1" customWidth="1"/>
    <col min="9" max="16384" width="8.88671875" style="1"/>
  </cols>
  <sheetData>
    <row r="1" spans="1:18" ht="17.399999999999999">
      <c r="A1" s="23" t="s">
        <v>494</v>
      </c>
      <c r="B1" s="22"/>
      <c r="C1" s="22" t="s">
        <v>1094</v>
      </c>
      <c r="D1" s="22"/>
      <c r="E1" s="22"/>
      <c r="F1" s="22"/>
      <c r="G1" s="22"/>
      <c r="H1" s="22"/>
      <c r="I1" s="22"/>
      <c r="J1" s="22"/>
      <c r="K1" s="22"/>
      <c r="L1" s="2"/>
    </row>
    <row r="2" spans="1:18">
      <c r="A2" s="22"/>
      <c r="B2" s="22"/>
      <c r="C2" s="22"/>
      <c r="D2" s="22"/>
      <c r="E2" s="22"/>
      <c r="F2" s="22"/>
      <c r="G2" s="22"/>
      <c r="H2" s="22"/>
      <c r="I2" s="22"/>
      <c r="J2" s="22"/>
      <c r="K2" s="22"/>
      <c r="L2" s="2"/>
    </row>
    <row r="3" spans="1:18">
      <c r="A3" s="2"/>
      <c r="B3" s="2"/>
      <c r="C3" s="2"/>
      <c r="D3" s="2"/>
      <c r="E3" s="2"/>
      <c r="F3" s="2"/>
      <c r="G3" s="2"/>
      <c r="H3" s="2"/>
      <c r="I3" s="2"/>
      <c r="J3" s="2"/>
      <c r="K3" s="2"/>
      <c r="L3" s="2"/>
    </row>
    <row r="4" spans="1:18">
      <c r="A4" s="341" t="s">
        <v>667</v>
      </c>
      <c r="B4" s="2"/>
      <c r="C4" s="2"/>
      <c r="D4" s="2"/>
      <c r="E4" s="2"/>
      <c r="F4" s="2"/>
      <c r="G4" s="2"/>
      <c r="H4" s="2"/>
      <c r="I4" s="2"/>
      <c r="J4" s="2"/>
      <c r="K4" s="2"/>
      <c r="L4" s="2"/>
    </row>
    <row r="5" spans="1:18">
      <c r="A5" s="418"/>
      <c r="B5" s="418"/>
      <c r="C5" s="418"/>
      <c r="D5" s="418"/>
      <c r="E5" s="418"/>
      <c r="F5" s="418"/>
      <c r="G5" s="418"/>
      <c r="H5" s="418"/>
      <c r="I5" s="418"/>
      <c r="J5" s="418"/>
      <c r="K5" s="418"/>
      <c r="L5" s="418"/>
    </row>
    <row r="6" spans="1:18">
      <c r="A6" s="341" t="s">
        <v>666</v>
      </c>
      <c r="B6" s="2"/>
      <c r="C6" s="2"/>
      <c r="D6" s="2"/>
      <c r="E6" s="2"/>
      <c r="F6" s="2"/>
      <c r="G6" s="2"/>
      <c r="H6" s="2"/>
      <c r="I6" s="2"/>
      <c r="J6" s="2"/>
      <c r="K6" s="2"/>
      <c r="L6" s="2"/>
    </row>
    <row r="7" spans="1:18">
      <c r="A7" s="418"/>
      <c r="B7" s="418"/>
      <c r="C7" s="418"/>
      <c r="D7" s="418"/>
      <c r="E7" s="418"/>
      <c r="F7" s="418"/>
      <c r="G7" s="418"/>
      <c r="H7" s="418"/>
      <c r="I7" s="418"/>
      <c r="J7" s="418"/>
      <c r="K7" s="418"/>
      <c r="L7" s="418"/>
    </row>
    <row r="8" spans="1:18">
      <c r="A8" s="22"/>
      <c r="B8" s="22"/>
      <c r="C8" s="22"/>
      <c r="D8" s="22"/>
      <c r="E8" s="22"/>
      <c r="F8" s="22"/>
      <c r="G8" s="22"/>
      <c r="H8" s="22"/>
      <c r="I8" s="22"/>
      <c r="J8" s="22"/>
      <c r="K8" s="22"/>
      <c r="L8" s="22"/>
    </row>
    <row r="9" spans="1:18">
      <c r="A9" s="22" t="s">
        <v>1328</v>
      </c>
      <c r="B9" s="22"/>
      <c r="C9" s="22"/>
      <c r="D9" s="22"/>
      <c r="E9" s="22"/>
      <c r="F9" s="22"/>
      <c r="G9" s="22"/>
      <c r="H9" s="22"/>
      <c r="I9" s="22"/>
      <c r="J9" s="22"/>
      <c r="K9" s="22"/>
      <c r="L9" s="22"/>
    </row>
    <row r="10" spans="1:18">
      <c r="A10" s="22"/>
      <c r="B10" s="22"/>
      <c r="C10" s="22"/>
      <c r="D10" s="22"/>
      <c r="E10" s="22"/>
      <c r="F10" s="22"/>
      <c r="G10" s="22"/>
      <c r="H10" s="22"/>
      <c r="I10" s="22"/>
      <c r="J10" s="22"/>
      <c r="K10" s="22"/>
      <c r="L10" s="22"/>
    </row>
    <row r="11" spans="1:18">
      <c r="A11" s="22"/>
      <c r="B11" s="577" t="s">
        <v>1327</v>
      </c>
      <c r="C11" s="22"/>
      <c r="D11" s="22"/>
      <c r="E11" s="22"/>
      <c r="F11" s="22"/>
      <c r="G11" s="22"/>
      <c r="H11" s="22"/>
      <c r="I11" s="22"/>
      <c r="J11" s="22"/>
      <c r="K11" s="22"/>
      <c r="L11" s="22"/>
    </row>
    <row r="12" spans="1:18">
      <c r="A12" s="22"/>
      <c r="B12" s="577" t="s">
        <v>1326</v>
      </c>
      <c r="C12" s="22"/>
      <c r="D12" s="22"/>
      <c r="E12" s="22"/>
      <c r="F12" s="22"/>
      <c r="G12" s="22"/>
      <c r="H12" s="22"/>
      <c r="I12" s="22"/>
      <c r="J12" s="22"/>
      <c r="K12" s="22"/>
      <c r="L12" s="22"/>
    </row>
    <row r="13" spans="1:18">
      <c r="A13" s="22"/>
      <c r="B13" s="22"/>
      <c r="C13" s="22"/>
      <c r="D13" s="22"/>
      <c r="E13" s="22"/>
      <c r="F13" s="22"/>
      <c r="G13" s="22"/>
      <c r="H13" s="22"/>
      <c r="I13" s="22"/>
      <c r="J13" s="22"/>
      <c r="K13" s="22"/>
      <c r="L13" s="22"/>
    </row>
    <row r="14" spans="1:18">
      <c r="A14" s="418"/>
      <c r="B14" s="418"/>
      <c r="C14" s="418"/>
      <c r="D14" s="418"/>
      <c r="E14" s="418"/>
      <c r="F14" s="418"/>
      <c r="G14" s="418"/>
      <c r="H14" s="418"/>
      <c r="I14" s="418"/>
      <c r="J14" s="418"/>
      <c r="K14" s="418"/>
      <c r="L14" s="418"/>
    </row>
    <row r="15" spans="1:18">
      <c r="A15" s="577" t="s">
        <v>7</v>
      </c>
      <c r="B15" s="22" t="s">
        <v>1325</v>
      </c>
      <c r="C15" s="22"/>
      <c r="D15" s="22"/>
      <c r="E15" s="22"/>
      <c r="F15" s="22"/>
      <c r="G15" s="22"/>
      <c r="H15" s="22"/>
      <c r="I15" s="22"/>
      <c r="J15" s="22"/>
      <c r="K15" s="22"/>
      <c r="L15" s="22"/>
      <c r="M15" s="328"/>
      <c r="N15" s="328"/>
      <c r="O15" s="328"/>
      <c r="P15" s="328"/>
      <c r="Q15" s="328"/>
      <c r="R15" s="328"/>
    </row>
    <row r="16" spans="1:18">
      <c r="A16" s="577"/>
      <c r="B16" s="22"/>
      <c r="C16" s="22"/>
      <c r="D16" s="22"/>
      <c r="E16" s="22"/>
      <c r="F16" s="22"/>
      <c r="G16" s="22"/>
      <c r="H16" s="22"/>
      <c r="I16" s="22"/>
      <c r="J16" s="22"/>
      <c r="K16" s="22"/>
      <c r="L16" s="22"/>
      <c r="M16" s="328"/>
      <c r="N16" s="328"/>
      <c r="O16" s="328"/>
      <c r="P16" s="328"/>
      <c r="Q16" s="328"/>
      <c r="R16" s="328"/>
    </row>
    <row r="17" spans="1:18">
      <c r="A17" s="577"/>
      <c r="B17" s="22" t="s">
        <v>350</v>
      </c>
      <c r="C17" s="22" t="s">
        <v>1324</v>
      </c>
      <c r="D17" s="22"/>
      <c r="E17" s="22"/>
      <c r="F17" s="22"/>
      <c r="G17" s="22"/>
      <c r="H17" s="22"/>
      <c r="I17" s="22"/>
      <c r="J17" s="22"/>
      <c r="K17" s="22"/>
      <c r="L17" s="22"/>
      <c r="M17" s="328"/>
      <c r="N17" s="328"/>
      <c r="O17" s="328"/>
      <c r="P17" s="328"/>
      <c r="Q17" s="328"/>
      <c r="R17" s="328"/>
    </row>
    <row r="18" spans="1:18">
      <c r="A18" s="577"/>
      <c r="B18" s="22"/>
      <c r="C18" s="22"/>
      <c r="D18" s="22"/>
      <c r="E18" s="22"/>
      <c r="F18" s="22"/>
      <c r="G18" s="22"/>
      <c r="H18" s="22"/>
      <c r="I18" s="22"/>
      <c r="J18" s="22"/>
      <c r="K18" s="22"/>
      <c r="L18" s="22"/>
      <c r="M18" s="328"/>
      <c r="N18" s="328"/>
      <c r="O18" s="328"/>
      <c r="P18" s="328"/>
      <c r="Q18" s="328"/>
      <c r="R18" s="328"/>
    </row>
    <row r="19" spans="1:18">
      <c r="A19" s="577"/>
      <c r="B19" s="22" t="s">
        <v>344</v>
      </c>
      <c r="C19" s="22" t="s">
        <v>1323</v>
      </c>
      <c r="D19" s="22"/>
      <c r="E19" s="22"/>
      <c r="F19" s="22"/>
      <c r="G19" s="22"/>
      <c r="H19" s="22"/>
      <c r="I19" s="22"/>
      <c r="J19" s="22"/>
      <c r="K19" s="22"/>
      <c r="L19" s="22"/>
      <c r="M19" s="328"/>
      <c r="N19" s="328"/>
      <c r="O19" s="328"/>
      <c r="P19" s="328"/>
      <c r="Q19" s="328"/>
      <c r="R19" s="328"/>
    </row>
    <row r="20" spans="1:18">
      <c r="A20" s="37"/>
      <c r="B20" s="37"/>
      <c r="C20" s="37"/>
      <c r="D20" s="37"/>
      <c r="E20" s="37"/>
      <c r="F20" s="37"/>
      <c r="G20" s="37"/>
      <c r="H20" s="37"/>
      <c r="I20" s="37"/>
      <c r="J20" s="37"/>
      <c r="K20" s="37"/>
      <c r="L20" s="37"/>
      <c r="M20" s="37"/>
    </row>
    <row r="21" spans="1:18">
      <c r="A21" s="37" t="s">
        <v>650</v>
      </c>
      <c r="B21" s="37"/>
      <c r="C21" s="37"/>
      <c r="D21" s="37"/>
      <c r="E21" s="37"/>
      <c r="F21" s="37"/>
      <c r="G21" s="37"/>
      <c r="H21" s="37"/>
      <c r="I21" s="37"/>
      <c r="J21" s="37"/>
      <c r="K21" s="37"/>
      <c r="L21" s="37"/>
      <c r="M21" s="37"/>
      <c r="N21" s="328"/>
    </row>
    <row r="22" spans="1:18">
      <c r="A22" s="37"/>
      <c r="B22" s="352" t="s">
        <v>1322</v>
      </c>
      <c r="C22" s="37"/>
      <c r="D22" s="37"/>
      <c r="E22" s="947">
        <v>1000000</v>
      </c>
      <c r="F22" s="37"/>
      <c r="G22" s="37"/>
      <c r="H22" s="37"/>
      <c r="I22" s="37"/>
      <c r="J22" s="37"/>
      <c r="K22" s="37"/>
      <c r="L22" s="37"/>
      <c r="M22" s="37"/>
      <c r="N22" s="328"/>
    </row>
    <row r="23" spans="1:18">
      <c r="A23" s="37"/>
      <c r="B23" s="352" t="s">
        <v>1321</v>
      </c>
      <c r="C23" s="37"/>
      <c r="D23" s="37"/>
      <c r="E23" s="947">
        <v>500000</v>
      </c>
      <c r="F23" s="37"/>
      <c r="G23" s="37"/>
      <c r="H23" s="37"/>
      <c r="I23" s="37"/>
      <c r="J23" s="37"/>
      <c r="K23" s="37"/>
      <c r="L23" s="37"/>
      <c r="M23" s="37"/>
      <c r="N23" s="328"/>
    </row>
    <row r="24" spans="1:18">
      <c r="A24" s="37"/>
      <c r="B24" s="352" t="s">
        <v>1320</v>
      </c>
      <c r="C24" s="37"/>
      <c r="D24" s="37"/>
      <c r="E24" s="592">
        <v>0.8</v>
      </c>
      <c r="F24" s="37"/>
      <c r="G24" s="37"/>
      <c r="H24" s="37"/>
      <c r="I24" s="37"/>
      <c r="J24" s="37"/>
      <c r="K24" s="37"/>
      <c r="L24" s="37"/>
      <c r="M24" s="37"/>
      <c r="N24" s="328"/>
    </row>
    <row r="25" spans="1:18">
      <c r="A25" s="37"/>
      <c r="B25" s="37"/>
      <c r="C25" s="245"/>
      <c r="D25" s="592"/>
      <c r="E25" s="37"/>
      <c r="F25" s="37"/>
      <c r="G25" s="37"/>
      <c r="H25" s="37"/>
      <c r="I25" s="37"/>
      <c r="J25" s="37"/>
      <c r="K25" s="37"/>
      <c r="L25" s="37"/>
      <c r="M25" s="37"/>
      <c r="N25" s="328"/>
    </row>
    <row r="26" spans="1:18">
      <c r="A26" s="37"/>
      <c r="B26" s="352" t="s">
        <v>1319</v>
      </c>
      <c r="C26" s="37"/>
      <c r="D26" s="37"/>
      <c r="E26" s="946">
        <f>1-E23/(E22*E24)</f>
        <v>0.375</v>
      </c>
      <c r="F26" s="37"/>
      <c r="G26" s="37"/>
      <c r="H26" s="37"/>
      <c r="I26" s="37"/>
      <c r="J26" s="37"/>
      <c r="K26" s="37"/>
      <c r="L26" s="37"/>
      <c r="M26" s="37"/>
      <c r="N26" s="328"/>
    </row>
    <row r="27" spans="1:18">
      <c r="A27" s="37"/>
      <c r="B27" s="245"/>
      <c r="C27" s="37"/>
      <c r="D27" s="37"/>
      <c r="E27" s="37"/>
      <c r="F27" s="37"/>
      <c r="G27" s="37"/>
      <c r="H27" s="37"/>
      <c r="I27" s="37"/>
      <c r="J27" s="37"/>
      <c r="K27" s="37"/>
      <c r="L27" s="37"/>
      <c r="M27" s="37"/>
      <c r="N27" s="328"/>
    </row>
    <row r="28" spans="1:18" ht="31.2">
      <c r="A28" s="37"/>
      <c r="B28" s="631"/>
      <c r="C28" s="565" t="s">
        <v>1318</v>
      </c>
      <c r="D28" s="565" t="s">
        <v>1258</v>
      </c>
      <c r="E28" s="565" t="s">
        <v>1317</v>
      </c>
      <c r="F28" s="37"/>
      <c r="G28" s="37"/>
      <c r="H28" s="37"/>
      <c r="I28" s="37"/>
      <c r="J28" s="37"/>
      <c r="K28" s="37"/>
      <c r="L28" s="37"/>
      <c r="M28" s="37"/>
      <c r="N28" s="328"/>
    </row>
    <row r="29" spans="1:18">
      <c r="A29" s="37"/>
      <c r="B29" s="327" t="s">
        <v>350</v>
      </c>
      <c r="C29" s="634">
        <v>800000</v>
      </c>
      <c r="D29" s="634">
        <v>10000</v>
      </c>
      <c r="E29" s="912">
        <f>MIN((1-$E$26)*C29,$E$23)-D29</f>
        <v>490000</v>
      </c>
      <c r="F29" s="37"/>
      <c r="G29" s="37"/>
      <c r="H29" s="37"/>
      <c r="I29" s="37"/>
      <c r="J29" s="37"/>
      <c r="K29" s="37"/>
      <c r="L29" s="37"/>
      <c r="M29" s="37"/>
      <c r="N29" s="328"/>
    </row>
    <row r="30" spans="1:18">
      <c r="A30" s="37"/>
      <c r="B30" s="327" t="s">
        <v>344</v>
      </c>
      <c r="C30" s="634">
        <v>900000</v>
      </c>
      <c r="D30" s="634">
        <v>0</v>
      </c>
      <c r="E30" s="912">
        <f>MIN((1-$E$26)*C30,$E$23)-D30</f>
        <v>500000</v>
      </c>
      <c r="F30" s="37"/>
      <c r="G30" s="37"/>
      <c r="H30" s="37"/>
      <c r="I30" s="37"/>
      <c r="J30" s="37"/>
      <c r="K30" s="37"/>
      <c r="L30" s="37"/>
      <c r="M30" s="37"/>
      <c r="N30" s="328"/>
    </row>
    <row r="31" spans="1:18">
      <c r="M31" s="328"/>
      <c r="N31" s="328"/>
    </row>
    <row r="32" spans="1:18">
      <c r="A32" s="2"/>
      <c r="B32" s="2"/>
      <c r="C32" s="2"/>
      <c r="D32" s="2"/>
      <c r="E32" s="2"/>
      <c r="F32" s="2"/>
      <c r="G32" s="2"/>
      <c r="H32" s="2"/>
      <c r="I32" s="2"/>
      <c r="J32" s="2"/>
      <c r="K32" s="2"/>
      <c r="L32" s="2"/>
      <c r="M32" s="328"/>
      <c r="N32" s="328"/>
    </row>
    <row r="33" spans="1:14">
      <c r="A33" s="22" t="s">
        <v>1316</v>
      </c>
      <c r="B33" s="2"/>
      <c r="C33" s="2"/>
      <c r="D33" s="2"/>
      <c r="E33" s="2"/>
      <c r="F33" s="2"/>
      <c r="G33" s="2"/>
      <c r="H33" s="2"/>
      <c r="I33" s="2"/>
      <c r="J33" s="2"/>
      <c r="K33" s="2"/>
      <c r="L33" s="2"/>
      <c r="M33" s="328"/>
      <c r="N33" s="328"/>
    </row>
    <row r="34" spans="1:14">
      <c r="A34" s="2"/>
      <c r="B34" s="2"/>
      <c r="C34" s="2"/>
      <c r="D34" s="2"/>
      <c r="E34" s="2"/>
      <c r="F34" s="2"/>
      <c r="G34" s="2"/>
      <c r="H34" s="2"/>
      <c r="I34" s="2"/>
      <c r="J34" s="2"/>
      <c r="K34" s="2"/>
      <c r="L34" s="2"/>
      <c r="M34" s="328"/>
      <c r="N34" s="328"/>
    </row>
    <row r="35" spans="1:14">
      <c r="A35" s="2"/>
      <c r="B35" s="945" t="s">
        <v>1289</v>
      </c>
      <c r="C35" s="944"/>
      <c r="D35" s="334" t="s">
        <v>1293</v>
      </c>
      <c r="E35" s="334" t="s">
        <v>1142</v>
      </c>
      <c r="F35" s="2"/>
      <c r="G35" s="2"/>
      <c r="H35" s="2"/>
      <c r="I35" s="2"/>
      <c r="J35" s="2"/>
      <c r="K35" s="2"/>
      <c r="L35" s="2"/>
      <c r="M35" s="328"/>
      <c r="N35" s="328"/>
    </row>
    <row r="36" spans="1:14">
      <c r="A36" s="2"/>
      <c r="B36" s="943" t="s">
        <v>1313</v>
      </c>
      <c r="C36" s="661"/>
      <c r="D36" s="526">
        <v>1510</v>
      </c>
      <c r="E36" s="526">
        <v>1049000</v>
      </c>
      <c r="F36" s="2"/>
      <c r="G36" s="2"/>
      <c r="H36" s="2"/>
      <c r="I36" s="2"/>
      <c r="J36" s="2"/>
      <c r="K36" s="2"/>
      <c r="L36" s="2"/>
      <c r="M36" s="328"/>
      <c r="N36" s="328"/>
    </row>
    <row r="37" spans="1:14">
      <c r="A37" s="2"/>
      <c r="B37" s="942" t="s">
        <v>1312</v>
      </c>
      <c r="C37" s="941"/>
      <c r="D37" s="526">
        <v>10620</v>
      </c>
      <c r="E37" s="526">
        <v>59410000</v>
      </c>
      <c r="F37" s="2"/>
      <c r="G37" s="2"/>
      <c r="H37" s="2"/>
      <c r="I37" s="2"/>
      <c r="J37" s="2"/>
      <c r="K37" s="2"/>
      <c r="L37" s="2"/>
      <c r="M37" s="328"/>
      <c r="N37" s="328"/>
    </row>
    <row r="38" spans="1:14">
      <c r="A38" s="2"/>
      <c r="B38" s="2"/>
      <c r="C38" s="2"/>
      <c r="D38" s="2"/>
      <c r="E38" s="2"/>
      <c r="F38" s="2"/>
      <c r="G38" s="2"/>
      <c r="H38" s="2"/>
      <c r="I38" s="2"/>
      <c r="J38" s="2"/>
      <c r="K38" s="2"/>
      <c r="L38" s="2"/>
      <c r="M38" s="328"/>
      <c r="N38" s="328"/>
    </row>
    <row r="39" spans="1:14">
      <c r="A39" s="2"/>
      <c r="B39" s="2"/>
      <c r="C39" s="2"/>
      <c r="D39" s="2"/>
      <c r="E39" s="2"/>
      <c r="F39" s="2"/>
      <c r="G39" s="2"/>
      <c r="H39" s="2"/>
      <c r="I39" s="2"/>
      <c r="J39" s="2"/>
      <c r="K39" s="2"/>
      <c r="L39" s="2"/>
    </row>
    <row r="40" spans="1:14">
      <c r="A40" s="577" t="s">
        <v>4</v>
      </c>
      <c r="B40" s="22" t="s">
        <v>1315</v>
      </c>
      <c r="C40" s="22"/>
      <c r="D40" s="22"/>
      <c r="E40" s="22"/>
      <c r="F40" s="22"/>
      <c r="G40" s="22"/>
      <c r="H40" s="22"/>
      <c r="I40" s="22"/>
      <c r="J40" s="22"/>
      <c r="K40" s="22"/>
      <c r="L40" s="22"/>
    </row>
    <row r="41" spans="1:14">
      <c r="A41" s="37"/>
      <c r="B41" s="37"/>
      <c r="C41" s="37"/>
      <c r="D41" s="37"/>
      <c r="E41" s="37"/>
      <c r="F41" s="37"/>
      <c r="G41" s="37"/>
      <c r="H41" s="37"/>
      <c r="I41" s="37"/>
      <c r="J41" s="37"/>
      <c r="K41" s="37"/>
      <c r="L41" s="37"/>
    </row>
    <row r="42" spans="1:14">
      <c r="A42" s="37" t="s">
        <v>650</v>
      </c>
      <c r="B42" s="37"/>
      <c r="C42" s="37"/>
      <c r="D42" s="37"/>
      <c r="E42" s="37"/>
      <c r="F42" s="37"/>
      <c r="G42" s="37"/>
      <c r="H42" s="37"/>
      <c r="I42" s="37"/>
      <c r="J42" s="37"/>
      <c r="K42" s="37"/>
      <c r="L42" s="37"/>
    </row>
    <row r="43" spans="1:14">
      <c r="A43" s="37"/>
      <c r="B43" s="933" t="s">
        <v>1289</v>
      </c>
      <c r="C43" s="636"/>
      <c r="D43" s="636" t="s">
        <v>1314</v>
      </c>
      <c r="E43" s="37"/>
      <c r="F43" s="37"/>
      <c r="G43" s="37"/>
      <c r="H43" s="37"/>
      <c r="I43" s="37"/>
      <c r="J43" s="37"/>
      <c r="K43" s="37"/>
      <c r="L43" s="37"/>
    </row>
    <row r="44" spans="1:14">
      <c r="A44" s="37"/>
      <c r="B44" s="629" t="s">
        <v>1313</v>
      </c>
      <c r="C44" s="37"/>
      <c r="D44" s="429">
        <f>E36</f>
        <v>1049000</v>
      </c>
      <c r="E44" s="37"/>
      <c r="F44" s="37"/>
      <c r="G44" s="37"/>
      <c r="H44" s="37"/>
      <c r="I44" s="37"/>
      <c r="J44" s="37"/>
      <c r="K44" s="37"/>
      <c r="L44" s="37"/>
    </row>
    <row r="45" spans="1:14">
      <c r="B45" s="933" t="s">
        <v>1312</v>
      </c>
      <c r="C45" s="636"/>
      <c r="D45" s="924">
        <f>1000*D37</f>
        <v>10620000</v>
      </c>
      <c r="E45" s="37"/>
      <c r="M45" s="37"/>
    </row>
    <row r="46" spans="1:14">
      <c r="B46" s="37" t="s">
        <v>98</v>
      </c>
      <c r="C46" s="37"/>
      <c r="D46" s="429">
        <f>SUM(D44:D45)</f>
        <v>11669000</v>
      </c>
      <c r="E46" s="37"/>
      <c r="M46" s="37"/>
    </row>
    <row r="47" spans="1:14">
      <c r="M47" s="37"/>
    </row>
    <row r="48" spans="1:14">
      <c r="B48" s="1" t="s">
        <v>1311</v>
      </c>
      <c r="D48" s="940">
        <f>D46/SUM(E36:E37)</f>
        <v>0.19300683107560496</v>
      </c>
    </row>
    <row r="50" spans="1:12">
      <c r="A50" s="2"/>
      <c r="B50" s="2"/>
      <c r="C50" s="2"/>
      <c r="D50" s="2"/>
      <c r="E50" s="2"/>
      <c r="F50" s="2"/>
      <c r="G50" s="2"/>
      <c r="H50" s="2"/>
      <c r="I50" s="2"/>
      <c r="J50" s="2"/>
      <c r="K50" s="2"/>
      <c r="L50" s="2"/>
    </row>
    <row r="51" spans="1:12">
      <c r="A51" s="22" t="s">
        <v>1310</v>
      </c>
      <c r="B51" s="2"/>
      <c r="C51" s="2"/>
      <c r="D51" s="2"/>
      <c r="E51" s="2"/>
      <c r="F51" s="2"/>
      <c r="G51" s="2"/>
      <c r="H51" s="2"/>
      <c r="I51" s="2"/>
      <c r="J51" s="2"/>
      <c r="K51" s="2"/>
      <c r="L51" s="2"/>
    </row>
    <row r="52" spans="1:12">
      <c r="A52" s="2"/>
      <c r="B52" s="2"/>
      <c r="C52" s="2"/>
      <c r="D52" s="2"/>
      <c r="E52" s="2"/>
      <c r="F52" s="2"/>
      <c r="G52" s="2"/>
      <c r="H52" s="2"/>
      <c r="I52" s="2"/>
      <c r="J52" s="2"/>
      <c r="K52" s="2"/>
      <c r="L52" s="2"/>
    </row>
    <row r="53" spans="1:12">
      <c r="A53" s="2"/>
      <c r="B53" s="577" t="s">
        <v>1309</v>
      </c>
      <c r="C53" s="2"/>
      <c r="D53" s="2"/>
      <c r="E53" s="2"/>
      <c r="F53" s="2"/>
      <c r="G53" s="2"/>
      <c r="H53" s="2"/>
      <c r="I53" s="2"/>
      <c r="J53" s="2"/>
      <c r="K53" s="2"/>
      <c r="L53" s="2"/>
    </row>
    <row r="54" spans="1:12">
      <c r="A54" s="2"/>
      <c r="B54" s="577" t="s">
        <v>1308</v>
      </c>
      <c r="C54" s="2"/>
      <c r="D54" s="2"/>
      <c r="E54" s="2"/>
      <c r="F54" s="2"/>
      <c r="G54" s="2"/>
      <c r="H54" s="2"/>
      <c r="I54" s="2"/>
      <c r="J54" s="2"/>
      <c r="K54" s="2"/>
      <c r="L54" s="2"/>
    </row>
    <row r="55" spans="1:12">
      <c r="A55" s="2"/>
      <c r="B55" s="577" t="s">
        <v>1307</v>
      </c>
      <c r="C55" s="2"/>
      <c r="D55" s="2"/>
      <c r="E55" s="2"/>
      <c r="F55" s="2"/>
      <c r="G55" s="2"/>
      <c r="H55" s="2"/>
      <c r="I55" s="2"/>
      <c r="J55" s="2"/>
      <c r="K55" s="2"/>
      <c r="L55" s="2"/>
    </row>
    <row r="56" spans="1:12">
      <c r="A56" s="2"/>
      <c r="B56" s="577" t="s">
        <v>1306</v>
      </c>
      <c r="C56" s="2"/>
      <c r="D56" s="2"/>
      <c r="E56" s="2"/>
      <c r="F56" s="2"/>
      <c r="G56" s="2"/>
      <c r="H56" s="2"/>
      <c r="I56" s="2"/>
      <c r="J56" s="2"/>
      <c r="K56" s="2"/>
      <c r="L56" s="2"/>
    </row>
    <row r="57" spans="1:12">
      <c r="A57" s="2"/>
      <c r="B57" s="2"/>
      <c r="C57" s="2"/>
      <c r="D57" s="2"/>
      <c r="E57" s="2"/>
      <c r="F57" s="2"/>
      <c r="G57" s="2"/>
      <c r="H57" s="2"/>
      <c r="I57" s="2"/>
      <c r="J57" s="2"/>
      <c r="K57" s="2"/>
      <c r="L57" s="2"/>
    </row>
    <row r="58" spans="1:12">
      <c r="A58" s="2"/>
      <c r="B58" s="2"/>
      <c r="C58" s="2"/>
      <c r="D58" s="2"/>
      <c r="E58" s="2"/>
      <c r="F58" s="2"/>
      <c r="G58" s="2"/>
      <c r="H58" s="2"/>
      <c r="I58" s="2"/>
      <c r="J58" s="2"/>
      <c r="K58" s="2"/>
      <c r="L58" s="2"/>
    </row>
    <row r="59" spans="1:12">
      <c r="A59" s="577" t="s">
        <v>48</v>
      </c>
      <c r="B59" s="22" t="s">
        <v>1305</v>
      </c>
      <c r="C59" s="22"/>
      <c r="D59" s="22"/>
      <c r="E59" s="22"/>
      <c r="F59" s="22"/>
      <c r="G59" s="22"/>
      <c r="H59" s="22"/>
      <c r="I59" s="22"/>
      <c r="J59" s="22"/>
      <c r="K59" s="22"/>
      <c r="L59" s="22"/>
    </row>
    <row r="60" spans="1:12">
      <c r="A60" s="37"/>
      <c r="B60" s="37"/>
      <c r="C60" s="37"/>
      <c r="D60" s="37"/>
      <c r="E60" s="37"/>
      <c r="F60" s="37"/>
      <c r="G60" s="37"/>
      <c r="H60" s="37"/>
      <c r="I60" s="37"/>
      <c r="J60" s="37"/>
      <c r="K60" s="37"/>
      <c r="L60" s="37"/>
    </row>
    <row r="61" spans="1:12">
      <c r="A61" s="37" t="s">
        <v>650</v>
      </c>
      <c r="B61" s="37"/>
      <c r="C61" s="37"/>
      <c r="D61" s="37"/>
      <c r="E61" s="37"/>
      <c r="F61" s="37"/>
      <c r="G61" s="37"/>
      <c r="H61" s="37"/>
      <c r="I61" s="37"/>
      <c r="J61" s="37"/>
      <c r="K61" s="37"/>
      <c r="L61" s="37"/>
    </row>
    <row r="62" spans="1:12">
      <c r="A62" s="37"/>
      <c r="B62" s="37"/>
      <c r="C62" s="37"/>
      <c r="D62" s="37"/>
      <c r="E62" s="37"/>
      <c r="F62" s="37"/>
      <c r="G62" s="37"/>
      <c r="H62" s="37"/>
      <c r="I62" s="37"/>
      <c r="J62" s="37"/>
      <c r="K62" s="37"/>
      <c r="L62" s="37"/>
    </row>
    <row r="63" spans="1:12">
      <c r="A63" s="352" t="s">
        <v>1304</v>
      </c>
      <c r="B63" s="37"/>
      <c r="C63" s="327">
        <v>110</v>
      </c>
      <c r="D63" s="327" t="s">
        <v>1303</v>
      </c>
      <c r="E63" s="37"/>
      <c r="F63" s="37"/>
      <c r="G63" s="37"/>
      <c r="H63" s="37"/>
      <c r="I63" s="37"/>
      <c r="J63" s="37"/>
      <c r="K63" s="37"/>
      <c r="L63" s="37"/>
    </row>
    <row r="64" spans="1:12">
      <c r="A64" s="352" t="s">
        <v>1142</v>
      </c>
      <c r="B64" s="37"/>
      <c r="C64" s="327">
        <f>$C$63*D64</f>
        <v>77</v>
      </c>
      <c r="D64" s="939">
        <v>0.7</v>
      </c>
      <c r="E64" s="37"/>
      <c r="F64" s="37"/>
      <c r="G64" s="37"/>
      <c r="H64" s="37"/>
      <c r="I64" s="37"/>
    </row>
    <row r="65" spans="1:14">
      <c r="A65" s="352" t="s">
        <v>1302</v>
      </c>
      <c r="B65" s="37"/>
      <c r="C65" s="327">
        <f>$C$63*D65</f>
        <v>22</v>
      </c>
      <c r="D65" s="939">
        <v>0.2</v>
      </c>
      <c r="E65" s="37"/>
      <c r="F65" s="37"/>
      <c r="G65" s="37"/>
      <c r="H65" s="37"/>
      <c r="I65" s="37"/>
    </row>
    <row r="66" spans="1:14">
      <c r="A66" s="352" t="s">
        <v>1301</v>
      </c>
      <c r="B66" s="37"/>
      <c r="C66" s="327">
        <f>$C$63*D66</f>
        <v>11</v>
      </c>
      <c r="D66" s="939">
        <v>0.1</v>
      </c>
      <c r="E66" s="37"/>
      <c r="F66" s="37"/>
      <c r="G66" s="37"/>
      <c r="H66" s="37"/>
      <c r="I66" s="37"/>
    </row>
    <row r="67" spans="1:14">
      <c r="A67" s="352"/>
      <c r="B67" s="37"/>
      <c r="C67" s="177"/>
      <c r="D67" s="638"/>
      <c r="E67" s="37"/>
      <c r="F67" s="37"/>
      <c r="G67" s="37"/>
      <c r="H67" s="37"/>
      <c r="I67" s="37"/>
    </row>
    <row r="68" spans="1:14">
      <c r="A68" s="352" t="s">
        <v>1300</v>
      </c>
      <c r="F68" s="37"/>
      <c r="G68" s="37"/>
      <c r="H68" s="37"/>
      <c r="I68" s="37"/>
    </row>
    <row r="69" spans="1:14">
      <c r="A69" s="937"/>
      <c r="B69" s="37" t="s">
        <v>1299</v>
      </c>
      <c r="C69" s="37"/>
      <c r="D69" s="37"/>
      <c r="E69" s="37"/>
      <c r="F69" s="37"/>
      <c r="G69" s="37"/>
      <c r="H69" s="37"/>
      <c r="I69" s="37"/>
    </row>
    <row r="70" spans="1:14">
      <c r="A70" s="937"/>
      <c r="B70" s="37" t="s">
        <v>1298</v>
      </c>
      <c r="C70" s="245"/>
      <c r="D70" s="37"/>
      <c r="E70" s="37"/>
      <c r="F70" s="37"/>
      <c r="G70" s="37"/>
      <c r="H70" s="37"/>
      <c r="I70" s="37"/>
      <c r="M70" s="37"/>
      <c r="N70" s="37"/>
    </row>
    <row r="71" spans="1:14">
      <c r="A71" s="937"/>
      <c r="B71" s="37"/>
      <c r="C71" s="352" t="s">
        <v>1297</v>
      </c>
      <c r="D71" s="938">
        <f>C64*(1-D48)</f>
        <v>62.138474007178417</v>
      </c>
      <c r="F71" s="37"/>
      <c r="G71" s="37"/>
      <c r="H71" s="37"/>
      <c r="I71" s="37"/>
      <c r="M71" s="37"/>
      <c r="N71" s="37"/>
    </row>
    <row r="72" spans="1:14">
      <c r="A72" s="937"/>
      <c r="B72" s="37" t="s">
        <v>1296</v>
      </c>
      <c r="C72" s="245"/>
      <c r="D72" s="37"/>
      <c r="E72" s="37"/>
      <c r="F72" s="37"/>
      <c r="G72" s="37"/>
      <c r="H72" s="37"/>
      <c r="I72" s="37"/>
      <c r="M72" s="37"/>
      <c r="N72" s="37"/>
    </row>
    <row r="73" spans="1:14">
      <c r="A73" s="937"/>
      <c r="B73" s="37"/>
      <c r="C73" s="245" t="s">
        <v>1295</v>
      </c>
      <c r="D73" s="931">
        <f>(D71+C66)/(1-D65)</f>
        <v>91.423092508973014</v>
      </c>
      <c r="E73" s="37"/>
      <c r="F73" s="37"/>
      <c r="G73" s="37"/>
      <c r="H73" s="37"/>
      <c r="I73" s="37"/>
    </row>
    <row r="75" spans="1:14">
      <c r="A75" s="2"/>
      <c r="B75" s="2"/>
      <c r="C75" s="2"/>
      <c r="D75" s="2"/>
      <c r="E75" s="2"/>
      <c r="F75" s="2"/>
      <c r="G75" s="2"/>
      <c r="H75" s="2"/>
      <c r="I75" s="2"/>
      <c r="J75" s="2"/>
      <c r="K75" s="2"/>
      <c r="L75" s="2"/>
    </row>
    <row r="76" spans="1:14">
      <c r="A76" s="22" t="s">
        <v>1294</v>
      </c>
      <c r="B76" s="2"/>
      <c r="C76" s="2"/>
      <c r="D76" s="2"/>
      <c r="E76" s="2"/>
      <c r="F76" s="2"/>
      <c r="G76" s="2"/>
      <c r="H76" s="2"/>
      <c r="I76" s="2"/>
      <c r="J76" s="2"/>
      <c r="K76" s="2"/>
      <c r="L76" s="2"/>
    </row>
    <row r="77" spans="1:14">
      <c r="A77" s="2"/>
      <c r="B77" s="2"/>
      <c r="C77" s="2"/>
      <c r="D77" s="2"/>
      <c r="E77" s="2"/>
      <c r="F77" s="2"/>
      <c r="G77" s="2"/>
      <c r="H77" s="2"/>
      <c r="I77" s="2"/>
      <c r="J77" s="2"/>
      <c r="K77" s="2"/>
      <c r="L77" s="2"/>
    </row>
    <row r="78" spans="1:14">
      <c r="A78" s="2"/>
      <c r="B78" s="936" t="s">
        <v>1289</v>
      </c>
      <c r="C78" s="934"/>
      <c r="D78" s="334" t="s">
        <v>1293</v>
      </c>
      <c r="E78" s="334" t="s">
        <v>1142</v>
      </c>
      <c r="F78" s="2"/>
      <c r="G78" s="2"/>
      <c r="H78" s="2"/>
      <c r="I78" s="2"/>
      <c r="J78" s="2"/>
      <c r="K78" s="2"/>
      <c r="L78" s="2"/>
    </row>
    <row r="79" spans="1:14">
      <c r="A79" s="2"/>
      <c r="B79" s="935" t="s">
        <v>1285</v>
      </c>
      <c r="C79" s="934"/>
      <c r="D79" s="526">
        <v>5000</v>
      </c>
      <c r="E79" s="526">
        <v>35000000</v>
      </c>
      <c r="F79" s="2"/>
      <c r="G79" s="2"/>
      <c r="H79" s="2"/>
      <c r="I79" s="2"/>
      <c r="J79" s="2"/>
      <c r="K79" s="2"/>
      <c r="L79" s="2"/>
    </row>
    <row r="80" spans="1:14">
      <c r="A80" s="2"/>
      <c r="B80" s="935" t="s">
        <v>1284</v>
      </c>
      <c r="C80" s="934"/>
      <c r="D80" s="526">
        <v>1500</v>
      </c>
      <c r="E80" s="526">
        <v>25000000</v>
      </c>
      <c r="F80" s="2"/>
      <c r="G80" s="2"/>
      <c r="H80" s="2"/>
      <c r="I80" s="2"/>
      <c r="J80" s="2"/>
      <c r="K80" s="2"/>
      <c r="L80" s="2"/>
    </row>
    <row r="81" spans="1:13">
      <c r="A81" s="2"/>
      <c r="B81" s="935" t="s">
        <v>1283</v>
      </c>
      <c r="C81" s="934"/>
      <c r="D81" s="628">
        <v>500</v>
      </c>
      <c r="E81" s="526">
        <v>15000000</v>
      </c>
      <c r="F81" s="2"/>
      <c r="G81" s="2"/>
      <c r="H81" s="2"/>
      <c r="I81" s="2"/>
      <c r="J81" s="2"/>
      <c r="K81" s="2"/>
      <c r="L81" s="2"/>
    </row>
    <row r="82" spans="1:13">
      <c r="A82" s="2"/>
      <c r="B82" s="2"/>
      <c r="C82" s="2"/>
      <c r="D82" s="2"/>
      <c r="E82" s="2"/>
      <c r="F82" s="2"/>
      <c r="G82" s="2"/>
      <c r="H82" s="2"/>
      <c r="I82" s="2"/>
      <c r="J82" s="2"/>
      <c r="K82" s="2"/>
      <c r="L82" s="2"/>
    </row>
    <row r="83" spans="1:13">
      <c r="A83" s="2"/>
      <c r="B83" s="2"/>
      <c r="C83" s="2"/>
      <c r="D83" s="2"/>
      <c r="E83" s="2"/>
      <c r="F83" s="2"/>
      <c r="G83" s="2"/>
      <c r="H83" s="2"/>
      <c r="I83" s="2"/>
      <c r="J83" s="2"/>
      <c r="K83" s="2"/>
      <c r="L83" s="2"/>
    </row>
    <row r="84" spans="1:13">
      <c r="A84" s="577" t="s">
        <v>129</v>
      </c>
      <c r="B84" s="22" t="s">
        <v>1292</v>
      </c>
      <c r="C84" s="22"/>
      <c r="D84" s="22"/>
      <c r="E84" s="22"/>
      <c r="F84" s="22"/>
      <c r="G84" s="22"/>
      <c r="H84" s="22"/>
      <c r="I84" s="22"/>
      <c r="J84" s="22"/>
      <c r="K84" s="22"/>
      <c r="L84" s="22"/>
    </row>
    <row r="85" spans="1:13">
      <c r="A85" s="577"/>
      <c r="B85" s="22"/>
      <c r="C85" s="22"/>
      <c r="D85" s="22"/>
      <c r="E85" s="22"/>
      <c r="F85" s="22"/>
      <c r="G85" s="22"/>
      <c r="H85" s="22"/>
      <c r="I85" s="22"/>
      <c r="J85" s="22"/>
      <c r="K85" s="22"/>
      <c r="L85" s="22"/>
    </row>
    <row r="86" spans="1:13">
      <c r="A86" s="577"/>
      <c r="B86" s="22" t="s">
        <v>350</v>
      </c>
      <c r="C86" s="22" t="s">
        <v>1291</v>
      </c>
      <c r="D86" s="22"/>
      <c r="E86" s="22"/>
      <c r="F86" s="22"/>
      <c r="G86" s="22"/>
      <c r="H86" s="22"/>
      <c r="I86" s="22"/>
      <c r="J86" s="22"/>
      <c r="K86" s="22"/>
      <c r="L86" s="22"/>
    </row>
    <row r="87" spans="1:13">
      <c r="A87" s="577"/>
      <c r="B87" s="22"/>
      <c r="C87" s="22"/>
      <c r="D87" s="22"/>
      <c r="E87" s="22"/>
      <c r="F87" s="22"/>
      <c r="G87" s="22"/>
      <c r="H87" s="22"/>
      <c r="I87" s="22"/>
      <c r="J87" s="22"/>
      <c r="K87" s="22"/>
      <c r="L87" s="22"/>
    </row>
    <row r="88" spans="1:13">
      <c r="A88" s="577"/>
      <c r="B88" s="22" t="s">
        <v>344</v>
      </c>
      <c r="C88" s="22" t="s">
        <v>1290</v>
      </c>
      <c r="D88" s="22"/>
      <c r="E88" s="22"/>
      <c r="F88" s="22"/>
      <c r="G88" s="22"/>
      <c r="H88" s="22"/>
      <c r="I88" s="22"/>
      <c r="J88" s="22"/>
      <c r="K88" s="22"/>
      <c r="L88" s="22"/>
    </row>
    <row r="89" spans="1:13">
      <c r="A89" s="37"/>
      <c r="B89" s="37"/>
      <c r="C89" s="37"/>
      <c r="D89" s="37"/>
      <c r="E89" s="37"/>
      <c r="F89" s="37"/>
      <c r="G89" s="37"/>
      <c r="H89" s="37"/>
      <c r="I89" s="37"/>
      <c r="J89" s="37"/>
      <c r="K89" s="37"/>
      <c r="L89" s="37"/>
    </row>
    <row r="90" spans="1:13">
      <c r="A90" s="37" t="s">
        <v>650</v>
      </c>
      <c r="B90" s="37"/>
      <c r="C90" s="37"/>
      <c r="D90" s="37"/>
      <c r="E90" s="37"/>
      <c r="F90" s="37"/>
      <c r="G90" s="37"/>
      <c r="H90" s="37"/>
      <c r="I90" s="37"/>
      <c r="J90" s="37"/>
      <c r="K90" s="37"/>
      <c r="L90" s="37"/>
    </row>
    <row r="91" spans="1:13" ht="31.2">
      <c r="B91" s="932" t="s">
        <v>1289</v>
      </c>
      <c r="C91" s="932"/>
      <c r="D91" s="565" t="s">
        <v>1288</v>
      </c>
      <c r="E91" s="565" t="s">
        <v>1287</v>
      </c>
      <c r="F91" s="565" t="s">
        <v>1286</v>
      </c>
      <c r="G91" s="37"/>
      <c r="H91" s="37"/>
      <c r="I91" s="37"/>
      <c r="J91" s="37"/>
      <c r="K91" s="37"/>
      <c r="L91" s="37"/>
    </row>
    <row r="92" spans="1:13">
      <c r="B92" s="629" t="s">
        <v>1285</v>
      </c>
      <c r="C92" s="352"/>
      <c r="D92" s="912">
        <f>E79</f>
        <v>35000000</v>
      </c>
      <c r="E92" s="429">
        <f>D92</f>
        <v>35000000</v>
      </c>
      <c r="F92" s="429">
        <f>D92</f>
        <v>35000000</v>
      </c>
    </row>
    <row r="93" spans="1:13">
      <c r="B93" s="629" t="s">
        <v>1284</v>
      </c>
      <c r="C93" s="352"/>
      <c r="D93" s="912">
        <f>E80</f>
        <v>25000000</v>
      </c>
      <c r="E93" s="429">
        <f>10000*D80</f>
        <v>15000000</v>
      </c>
      <c r="F93" s="429">
        <f>D93</f>
        <v>25000000</v>
      </c>
    </row>
    <row r="94" spans="1:13">
      <c r="B94" s="933" t="s">
        <v>1283</v>
      </c>
      <c r="C94" s="932"/>
      <c r="D94" s="914">
        <f>E81</f>
        <v>15000000</v>
      </c>
      <c r="E94" s="924">
        <f>10000*D81</f>
        <v>5000000</v>
      </c>
      <c r="F94" s="924">
        <f>20000*D81</f>
        <v>10000000</v>
      </c>
      <c r="M94" s="37"/>
    </row>
    <row r="95" spans="1:13">
      <c r="B95" s="632" t="s">
        <v>98</v>
      </c>
      <c r="C95" s="632"/>
      <c r="D95" s="912">
        <f>SUM(D92:D94)</f>
        <v>75000000</v>
      </c>
      <c r="E95" s="429">
        <f>SUM(E92:E94)</f>
        <v>55000000</v>
      </c>
      <c r="F95" s="429">
        <f>SUM(F92:F94)</f>
        <v>70000000</v>
      </c>
      <c r="M95" s="37"/>
    </row>
    <row r="96" spans="1:13">
      <c r="B96" s="37"/>
      <c r="C96" s="37"/>
      <c r="D96" s="37"/>
      <c r="E96" s="37"/>
      <c r="F96" s="37"/>
    </row>
    <row r="97" spans="2:6">
      <c r="B97" s="629" t="s">
        <v>1282</v>
      </c>
      <c r="C97" s="931"/>
      <c r="E97" s="87"/>
      <c r="F97" s="177">
        <f>F95/E95</f>
        <v>1.2727272727272727</v>
      </c>
    </row>
    <row r="98" spans="2:6">
      <c r="B98" s="629" t="s">
        <v>1281</v>
      </c>
      <c r="C98" s="931"/>
      <c r="E98" s="87"/>
      <c r="F98" s="177">
        <f>D95/E95</f>
        <v>1.3636363636363635</v>
      </c>
    </row>
  </sheetData>
  <pageMargins left="0.7" right="0.7" top="0.75" bottom="0.75" header="0.3" footer="0.3"/>
  <pageSetup scale="80" orientation="portrait"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0AFC0-6B72-4E32-B94D-C103D439F74C}">
  <dimension ref="A1:R50"/>
  <sheetViews>
    <sheetView zoomScaleNormal="100" workbookViewId="0"/>
  </sheetViews>
  <sheetFormatPr defaultColWidth="8.88671875" defaultRowHeight="15.6"/>
  <cols>
    <col min="1" max="1" width="8.88671875" style="1" customWidth="1"/>
    <col min="2" max="2" width="12.77734375" style="1" customWidth="1"/>
    <col min="3" max="6" width="8.88671875" style="1" customWidth="1"/>
    <col min="7" max="7" width="8.88671875" style="1"/>
    <col min="8" max="8" width="8.88671875" style="1" customWidth="1"/>
    <col min="9" max="16384" width="8.88671875" style="1"/>
  </cols>
  <sheetData>
    <row r="1" spans="1:18" ht="17.399999999999999">
      <c r="A1" s="23" t="s">
        <v>1343</v>
      </c>
      <c r="B1" s="22"/>
      <c r="C1" s="22" t="s">
        <v>668</v>
      </c>
      <c r="D1" s="22"/>
      <c r="E1" s="22"/>
      <c r="F1" s="22"/>
      <c r="G1" s="22"/>
      <c r="H1" s="22"/>
      <c r="I1" s="22"/>
      <c r="J1" s="22"/>
      <c r="K1" s="22"/>
      <c r="L1" s="2"/>
    </row>
    <row r="2" spans="1:18">
      <c r="A2" s="22"/>
      <c r="B2" s="22"/>
      <c r="C2" s="22"/>
      <c r="D2" s="22"/>
      <c r="E2" s="22"/>
      <c r="F2" s="22"/>
      <c r="G2" s="22"/>
      <c r="H2" s="22"/>
      <c r="I2" s="22"/>
      <c r="J2" s="22"/>
      <c r="K2" s="22"/>
      <c r="L2" s="2"/>
    </row>
    <row r="3" spans="1:18">
      <c r="A3" s="2"/>
      <c r="B3" s="2"/>
      <c r="C3" s="2"/>
      <c r="D3" s="2"/>
      <c r="E3" s="2"/>
      <c r="F3" s="2"/>
      <c r="G3" s="2"/>
      <c r="H3" s="2"/>
      <c r="I3" s="2"/>
      <c r="J3" s="2"/>
      <c r="K3" s="2"/>
      <c r="L3" s="2"/>
    </row>
    <row r="4" spans="1:18">
      <c r="A4" s="341" t="s">
        <v>667</v>
      </c>
      <c r="B4" s="2"/>
      <c r="C4" s="2"/>
      <c r="D4" s="2"/>
      <c r="E4" s="2"/>
      <c r="F4" s="2"/>
      <c r="G4" s="2"/>
      <c r="H4" s="2"/>
      <c r="I4" s="2"/>
      <c r="J4" s="2"/>
      <c r="K4" s="2"/>
      <c r="L4" s="2"/>
    </row>
    <row r="5" spans="1:18">
      <c r="A5" s="418"/>
      <c r="B5" s="418"/>
      <c r="C5" s="418"/>
      <c r="D5" s="418"/>
      <c r="E5" s="418"/>
      <c r="F5" s="418"/>
      <c r="G5" s="418"/>
      <c r="H5" s="418"/>
      <c r="I5" s="418"/>
      <c r="J5" s="418"/>
      <c r="K5" s="418"/>
      <c r="L5" s="418"/>
    </row>
    <row r="6" spans="1:18">
      <c r="A6" s="341" t="s">
        <v>666</v>
      </c>
      <c r="B6" s="2"/>
      <c r="C6" s="2"/>
      <c r="D6" s="2"/>
      <c r="E6" s="2"/>
      <c r="F6" s="2"/>
      <c r="G6" s="2"/>
      <c r="H6" s="2"/>
      <c r="I6" s="2"/>
      <c r="J6" s="2"/>
      <c r="K6" s="2"/>
      <c r="L6" s="2"/>
    </row>
    <row r="7" spans="1:18">
      <c r="A7" s="418"/>
      <c r="B7" s="418"/>
      <c r="C7" s="418"/>
      <c r="D7" s="418"/>
      <c r="E7" s="418"/>
      <c r="F7" s="418"/>
      <c r="G7" s="418"/>
      <c r="H7" s="418"/>
      <c r="I7" s="418"/>
      <c r="J7" s="418"/>
      <c r="K7" s="418"/>
      <c r="L7" s="418"/>
    </row>
    <row r="8" spans="1:18">
      <c r="A8" s="418"/>
      <c r="B8" s="418"/>
      <c r="C8" s="418"/>
      <c r="D8" s="418"/>
      <c r="E8" s="418"/>
      <c r="F8" s="418"/>
      <c r="G8" s="418"/>
      <c r="H8" s="418"/>
      <c r="I8" s="418"/>
      <c r="J8" s="418"/>
      <c r="K8" s="418"/>
      <c r="L8" s="418"/>
    </row>
    <row r="9" spans="1:18">
      <c r="A9" s="1724" t="s">
        <v>1342</v>
      </c>
      <c r="B9" s="1764"/>
      <c r="C9" s="1764"/>
      <c r="D9" s="1764"/>
      <c r="E9" s="1764"/>
      <c r="F9" s="1764"/>
      <c r="G9" s="1764"/>
      <c r="H9" s="1764"/>
      <c r="I9" s="1764"/>
      <c r="J9" s="1764"/>
      <c r="K9" s="1764"/>
      <c r="L9" s="1764"/>
    </row>
    <row r="10" spans="1:18">
      <c r="A10" s="1764"/>
      <c r="B10" s="1764"/>
      <c r="C10" s="1764"/>
      <c r="D10" s="1764"/>
      <c r="E10" s="1764"/>
      <c r="F10" s="1764"/>
      <c r="G10" s="1764"/>
      <c r="H10" s="1764"/>
      <c r="I10" s="1764"/>
      <c r="J10" s="1764"/>
      <c r="K10" s="1764"/>
      <c r="L10" s="1764"/>
    </row>
    <row r="11" spans="1:18">
      <c r="A11" s="418"/>
      <c r="B11" s="418"/>
      <c r="C11" s="418"/>
      <c r="D11" s="418"/>
      <c r="E11" s="418"/>
      <c r="F11" s="418"/>
      <c r="G11" s="418"/>
      <c r="H11" s="418"/>
      <c r="I11" s="418"/>
      <c r="J11" s="418"/>
      <c r="K11" s="418"/>
      <c r="L11" s="418"/>
    </row>
    <row r="12" spans="1:18">
      <c r="A12" s="418"/>
      <c r="B12" s="418"/>
      <c r="C12" s="418"/>
      <c r="D12" s="418"/>
      <c r="E12" s="418"/>
      <c r="F12" s="418"/>
      <c r="G12" s="418"/>
      <c r="H12" s="418"/>
      <c r="I12" s="418"/>
      <c r="J12" s="418"/>
      <c r="K12" s="418"/>
      <c r="L12" s="418"/>
    </row>
    <row r="13" spans="1:18">
      <c r="A13" s="577" t="s">
        <v>7</v>
      </c>
      <c r="B13" s="22" t="s">
        <v>1341</v>
      </c>
      <c r="C13" s="22"/>
      <c r="D13" s="22"/>
      <c r="E13" s="22"/>
      <c r="F13" s="22"/>
      <c r="G13" s="22"/>
      <c r="H13" s="22"/>
      <c r="I13" s="22"/>
      <c r="J13" s="22"/>
      <c r="K13" s="22"/>
      <c r="L13" s="22"/>
      <c r="M13" s="328"/>
      <c r="N13" s="328"/>
      <c r="O13" s="328"/>
      <c r="P13" s="328"/>
      <c r="Q13" s="328"/>
      <c r="R13" s="328"/>
    </row>
    <row r="14" spans="1:18">
      <c r="A14" s="37"/>
      <c r="B14" s="37"/>
      <c r="C14" s="37"/>
      <c r="D14" s="37"/>
      <c r="E14" s="37"/>
      <c r="F14" s="37"/>
      <c r="G14" s="37"/>
      <c r="H14" s="37"/>
      <c r="I14" s="37"/>
      <c r="J14" s="37"/>
      <c r="K14" s="37"/>
      <c r="L14" s="37"/>
      <c r="M14" s="37"/>
    </row>
    <row r="15" spans="1:18">
      <c r="A15" s="37" t="s">
        <v>650</v>
      </c>
      <c r="B15" s="37"/>
      <c r="C15" s="37"/>
      <c r="D15" s="37"/>
      <c r="E15" s="37"/>
      <c r="F15" s="37"/>
      <c r="G15" s="37"/>
      <c r="H15" s="37"/>
      <c r="I15" s="37"/>
      <c r="J15" s="37"/>
      <c r="K15" s="37"/>
      <c r="L15" s="37"/>
      <c r="M15" s="37"/>
      <c r="N15" s="328"/>
    </row>
    <row r="16" spans="1:18">
      <c r="A16" s="37"/>
      <c r="B16" s="37" t="s">
        <v>1340</v>
      </c>
      <c r="C16" s="37"/>
      <c r="D16" s="37"/>
      <c r="E16" s="37"/>
      <c r="F16" s="37"/>
      <c r="G16" s="37"/>
      <c r="H16" s="87"/>
      <c r="I16" s="592">
        <v>0.1</v>
      </c>
      <c r="J16" s="37"/>
      <c r="L16" s="37"/>
      <c r="M16" s="37"/>
      <c r="N16" s="328"/>
    </row>
    <row r="17" spans="1:14">
      <c r="A17" s="37"/>
      <c r="B17" s="37"/>
      <c r="C17" s="37"/>
      <c r="D17" s="37"/>
      <c r="E17" s="37"/>
      <c r="F17" s="37"/>
      <c r="G17" s="37"/>
      <c r="H17" s="87"/>
      <c r="I17" s="592"/>
      <c r="J17" s="37"/>
      <c r="L17" s="37"/>
      <c r="M17" s="37"/>
      <c r="N17" s="328"/>
    </row>
    <row r="18" spans="1:14">
      <c r="A18" s="37"/>
      <c r="B18" s="37"/>
      <c r="C18" s="1776" t="s">
        <v>1336</v>
      </c>
      <c r="D18" s="1776"/>
      <c r="E18" s="1776"/>
      <c r="F18" s="1776"/>
      <c r="G18" s="37"/>
      <c r="H18" s="37"/>
      <c r="I18" s="87"/>
      <c r="J18" s="87"/>
      <c r="L18" s="37"/>
      <c r="M18" s="37"/>
      <c r="N18" s="328"/>
    </row>
    <row r="19" spans="1:14">
      <c r="B19" s="576" t="s">
        <v>1335</v>
      </c>
      <c r="C19" s="576">
        <v>1</v>
      </c>
      <c r="D19" s="576">
        <f>C19+1</f>
        <v>2</v>
      </c>
      <c r="E19" s="576">
        <f>D19+1</f>
        <v>3</v>
      </c>
      <c r="F19" s="576">
        <f>E19+1</f>
        <v>4</v>
      </c>
      <c r="G19" s="87"/>
      <c r="H19" s="37"/>
      <c r="I19" s="37"/>
      <c r="J19" s="37"/>
      <c r="M19" s="328"/>
      <c r="N19" s="328"/>
    </row>
    <row r="20" spans="1:14">
      <c r="B20" s="327">
        <v>0</v>
      </c>
      <c r="C20" s="327">
        <v>100</v>
      </c>
      <c r="D20" s="327">
        <f t="shared" ref="D20:F22" si="0">C20*(1+$I$16)</f>
        <v>110.00000000000001</v>
      </c>
      <c r="E20" s="327">
        <f t="shared" si="0"/>
        <v>121.00000000000003</v>
      </c>
      <c r="F20" s="327">
        <f t="shared" si="0"/>
        <v>133.10000000000005</v>
      </c>
      <c r="G20" s="87"/>
      <c r="H20" s="37"/>
      <c r="I20" s="37"/>
      <c r="J20" s="37"/>
      <c r="M20" s="328"/>
      <c r="N20" s="328"/>
    </row>
    <row r="21" spans="1:14">
      <c r="B21" s="327">
        <v>1</v>
      </c>
      <c r="C21" s="327">
        <v>100</v>
      </c>
      <c r="D21" s="327">
        <f t="shared" si="0"/>
        <v>110.00000000000001</v>
      </c>
      <c r="E21" s="327">
        <f t="shared" si="0"/>
        <v>121.00000000000003</v>
      </c>
      <c r="F21" s="327">
        <f t="shared" si="0"/>
        <v>133.10000000000005</v>
      </c>
      <c r="G21" s="87"/>
      <c r="H21" s="37"/>
      <c r="I21" s="37"/>
      <c r="J21" s="37"/>
      <c r="M21" s="328"/>
      <c r="N21" s="328"/>
    </row>
    <row r="22" spans="1:14">
      <c r="B22" s="327">
        <v>2</v>
      </c>
      <c r="C22" s="327">
        <v>100</v>
      </c>
      <c r="D22" s="327">
        <f t="shared" si="0"/>
        <v>110.00000000000001</v>
      </c>
      <c r="E22" s="327">
        <f t="shared" si="0"/>
        <v>121.00000000000003</v>
      </c>
      <c r="F22" s="327">
        <f t="shared" si="0"/>
        <v>133.10000000000005</v>
      </c>
      <c r="G22" s="87"/>
      <c r="H22" s="37"/>
      <c r="I22" s="37"/>
      <c r="J22" s="37"/>
      <c r="M22" s="328"/>
      <c r="N22" s="328"/>
    </row>
    <row r="23" spans="1:14">
      <c r="B23" s="37"/>
      <c r="C23" s="37"/>
      <c r="D23" s="37"/>
      <c r="E23" s="37"/>
      <c r="F23" s="37"/>
      <c r="G23" s="87"/>
      <c r="H23" s="37"/>
      <c r="I23" s="37"/>
      <c r="J23" s="37"/>
      <c r="M23" s="328"/>
      <c r="N23" s="328"/>
    </row>
    <row r="24" spans="1:14">
      <c r="B24" s="37" t="s">
        <v>1332</v>
      </c>
      <c r="C24" s="37"/>
      <c r="D24" s="37"/>
      <c r="E24" s="37">
        <f>SUM(C20:C22)</f>
        <v>300</v>
      </c>
      <c r="F24" s="37"/>
      <c r="G24" s="37"/>
      <c r="H24" s="37"/>
      <c r="I24" s="37"/>
      <c r="J24" s="87"/>
      <c r="M24" s="328"/>
      <c r="N24" s="328"/>
    </row>
    <row r="25" spans="1:14">
      <c r="B25" s="37" t="s">
        <v>1331</v>
      </c>
      <c r="C25" s="37"/>
      <c r="D25" s="37"/>
      <c r="E25" s="37">
        <f>C20+D21+E22</f>
        <v>331</v>
      </c>
      <c r="F25" s="37"/>
      <c r="G25" s="37"/>
      <c r="H25" s="37"/>
      <c r="I25" s="37"/>
      <c r="J25" s="87"/>
      <c r="M25" s="328"/>
      <c r="N25" s="328"/>
    </row>
    <row r="26" spans="1:14">
      <c r="M26" s="328"/>
      <c r="N26" s="328"/>
    </row>
    <row r="27" spans="1:14">
      <c r="A27" s="2"/>
      <c r="B27" s="2"/>
      <c r="C27" s="2"/>
      <c r="D27" s="2"/>
      <c r="E27" s="2"/>
      <c r="F27" s="2"/>
      <c r="G27" s="2"/>
      <c r="H27" s="2"/>
      <c r="I27" s="2"/>
      <c r="J27" s="2"/>
      <c r="K27" s="2"/>
      <c r="L27" s="2"/>
      <c r="M27" s="328"/>
      <c r="N27" s="328"/>
    </row>
    <row r="28" spans="1:14">
      <c r="A28" s="1724" t="s">
        <v>1339</v>
      </c>
      <c r="B28" s="1764"/>
      <c r="C28" s="1764"/>
      <c r="D28" s="1764"/>
      <c r="E28" s="1764"/>
      <c r="F28" s="1764"/>
      <c r="G28" s="1764"/>
      <c r="H28" s="1764"/>
      <c r="I28" s="1764"/>
      <c r="J28" s="1764"/>
      <c r="K28" s="1764"/>
      <c r="L28" s="1764"/>
      <c r="M28" s="328"/>
      <c r="N28" s="328"/>
    </row>
    <row r="29" spans="1:14">
      <c r="A29" s="1764"/>
      <c r="B29" s="1764"/>
      <c r="C29" s="1764"/>
      <c r="D29" s="1764"/>
      <c r="E29" s="1764"/>
      <c r="F29" s="1764"/>
      <c r="G29" s="1764"/>
      <c r="H29" s="1764"/>
      <c r="I29" s="1764"/>
      <c r="J29" s="1764"/>
      <c r="K29" s="1764"/>
      <c r="L29" s="1764"/>
      <c r="M29" s="328"/>
      <c r="N29" s="328"/>
    </row>
    <row r="30" spans="1:14">
      <c r="A30" s="1764"/>
      <c r="B30" s="1764"/>
      <c r="C30" s="1764"/>
      <c r="D30" s="1764"/>
      <c r="E30" s="1764"/>
      <c r="F30" s="1764"/>
      <c r="G30" s="1764"/>
      <c r="H30" s="1764"/>
      <c r="I30" s="1764"/>
      <c r="J30" s="1764"/>
      <c r="K30" s="1764"/>
      <c r="L30" s="1764"/>
      <c r="M30" s="328"/>
      <c r="N30" s="328"/>
    </row>
    <row r="31" spans="1:14">
      <c r="A31" s="2"/>
      <c r="B31" s="2"/>
      <c r="C31" s="2"/>
      <c r="D31" s="2"/>
      <c r="E31" s="2"/>
      <c r="F31" s="2"/>
      <c r="G31" s="2"/>
      <c r="H31" s="2"/>
      <c r="I31" s="2"/>
      <c r="J31" s="2"/>
      <c r="K31" s="2"/>
      <c r="L31" s="2"/>
      <c r="M31" s="328"/>
      <c r="N31" s="328"/>
    </row>
    <row r="32" spans="1:14">
      <c r="A32" s="2"/>
      <c r="B32" s="2"/>
      <c r="C32" s="2"/>
      <c r="D32" s="2"/>
      <c r="E32" s="2"/>
      <c r="F32" s="2"/>
      <c r="G32" s="2"/>
      <c r="H32" s="2"/>
      <c r="I32" s="2"/>
      <c r="J32" s="2"/>
      <c r="K32" s="2"/>
      <c r="L32" s="2"/>
    </row>
    <row r="33" spans="1:13">
      <c r="A33" s="577" t="s">
        <v>4</v>
      </c>
      <c r="B33" s="22" t="s">
        <v>1338</v>
      </c>
      <c r="C33" s="22"/>
      <c r="D33" s="22"/>
      <c r="E33" s="22"/>
      <c r="F33" s="22"/>
      <c r="G33" s="22"/>
      <c r="H33" s="22"/>
      <c r="I33" s="22"/>
      <c r="J33" s="22"/>
      <c r="K33" s="22"/>
      <c r="L33" s="22"/>
    </row>
    <row r="34" spans="1:13">
      <c r="A34" s="37"/>
      <c r="B34" s="37"/>
      <c r="C34" s="37"/>
      <c r="D34" s="37"/>
      <c r="E34" s="37"/>
      <c r="F34" s="37"/>
      <c r="G34" s="37"/>
      <c r="H34" s="37"/>
      <c r="I34" s="37"/>
      <c r="J34" s="37"/>
      <c r="K34" s="37"/>
      <c r="L34" s="37"/>
    </row>
    <row r="35" spans="1:13">
      <c r="A35" s="37" t="s">
        <v>650</v>
      </c>
      <c r="B35" s="37"/>
      <c r="C35" s="37"/>
      <c r="D35" s="37"/>
      <c r="E35" s="37"/>
      <c r="F35" s="37"/>
      <c r="G35" s="37"/>
      <c r="H35" s="37"/>
      <c r="I35" s="37"/>
      <c r="J35" s="37"/>
      <c r="K35" s="37"/>
      <c r="L35" s="37"/>
    </row>
    <row r="36" spans="1:13">
      <c r="A36" s="37"/>
      <c r="B36" s="37" t="s">
        <v>1337</v>
      </c>
      <c r="C36" s="87"/>
      <c r="D36" s="37"/>
      <c r="E36" s="37"/>
      <c r="F36" s="37"/>
      <c r="G36" s="37"/>
      <c r="H36" s="37"/>
      <c r="I36" s="592">
        <v>0.2</v>
      </c>
      <c r="J36" s="37"/>
      <c r="K36" s="37"/>
      <c r="L36" s="37"/>
      <c r="M36" s="37"/>
    </row>
    <row r="37" spans="1:13">
      <c r="A37" s="37"/>
      <c r="B37" s="37"/>
      <c r="C37" s="37"/>
      <c r="D37" s="37"/>
      <c r="E37" s="37"/>
      <c r="F37" s="37"/>
      <c r="G37" s="37"/>
      <c r="H37" s="37"/>
      <c r="I37" s="37"/>
      <c r="J37" s="37"/>
      <c r="K37" s="37"/>
      <c r="L37" s="37"/>
      <c r="M37" s="37"/>
    </row>
    <row r="38" spans="1:13">
      <c r="B38" s="37"/>
      <c r="C38" s="1776" t="s">
        <v>1336</v>
      </c>
      <c r="D38" s="1776"/>
      <c r="E38" s="1776"/>
      <c r="F38" s="1776"/>
      <c r="G38" s="37"/>
      <c r="H38" s="37"/>
      <c r="I38" s="37"/>
      <c r="J38" s="37"/>
      <c r="K38" s="37"/>
      <c r="L38" s="37"/>
      <c r="M38" s="37"/>
    </row>
    <row r="39" spans="1:13">
      <c r="B39" s="576" t="s">
        <v>1335</v>
      </c>
      <c r="C39" s="576">
        <v>1</v>
      </c>
      <c r="D39" s="576">
        <f>C39+1</f>
        <v>2</v>
      </c>
      <c r="E39" s="576">
        <f>D39+1</f>
        <v>3</v>
      </c>
      <c r="F39" s="576">
        <f>E39+1</f>
        <v>4</v>
      </c>
      <c r="G39" s="87"/>
      <c r="H39" s="37"/>
      <c r="I39" s="37"/>
      <c r="J39" s="37"/>
      <c r="K39" s="37"/>
      <c r="L39" s="37"/>
      <c r="M39" s="37"/>
    </row>
    <row r="40" spans="1:13">
      <c r="B40" s="327">
        <v>0</v>
      </c>
      <c r="C40" s="327">
        <f>C20</f>
        <v>100</v>
      </c>
      <c r="D40" s="327">
        <f t="shared" ref="D40:F42" si="1">C40*(1+$I$36)</f>
        <v>120</v>
      </c>
      <c r="E40" s="327">
        <f t="shared" si="1"/>
        <v>144</v>
      </c>
      <c r="F40" s="327">
        <f t="shared" si="1"/>
        <v>172.79999999999998</v>
      </c>
      <c r="G40" s="87"/>
      <c r="H40" s="37"/>
      <c r="I40" s="37"/>
      <c r="J40" s="37"/>
      <c r="K40" s="37"/>
      <c r="L40" s="37"/>
      <c r="M40" s="37"/>
    </row>
    <row r="41" spans="1:13">
      <c r="B41" s="327">
        <v>1</v>
      </c>
      <c r="C41" s="327">
        <f>C21</f>
        <v>100</v>
      </c>
      <c r="D41" s="327">
        <f t="shared" si="1"/>
        <v>120</v>
      </c>
      <c r="E41" s="327">
        <f t="shared" si="1"/>
        <v>144</v>
      </c>
      <c r="F41" s="327">
        <f t="shared" si="1"/>
        <v>172.79999999999998</v>
      </c>
      <c r="G41" s="87"/>
      <c r="H41" s="37"/>
      <c r="I41" s="37"/>
      <c r="J41" s="37"/>
      <c r="K41" s="37"/>
      <c r="L41" s="37"/>
      <c r="M41" s="37"/>
    </row>
    <row r="42" spans="1:13">
      <c r="B42" s="327">
        <v>2</v>
      </c>
      <c r="C42" s="327">
        <f>C22</f>
        <v>100</v>
      </c>
      <c r="D42" s="327">
        <f t="shared" si="1"/>
        <v>120</v>
      </c>
      <c r="E42" s="327">
        <f t="shared" si="1"/>
        <v>144</v>
      </c>
      <c r="F42" s="327">
        <f t="shared" si="1"/>
        <v>172.79999999999998</v>
      </c>
      <c r="G42" s="87"/>
      <c r="H42" s="37"/>
      <c r="I42" s="37"/>
      <c r="J42" s="37"/>
      <c r="K42" s="37"/>
      <c r="L42" s="37"/>
      <c r="M42" s="37"/>
    </row>
    <row r="43" spans="1:13">
      <c r="B43" s="37"/>
      <c r="C43" s="37"/>
      <c r="D43" s="37"/>
      <c r="E43" s="37"/>
      <c r="F43" s="37"/>
      <c r="G43" s="87"/>
      <c r="H43" s="37"/>
      <c r="I43" s="37"/>
      <c r="J43" s="37"/>
      <c r="K43" s="37"/>
      <c r="L43" s="37"/>
      <c r="M43" s="37"/>
    </row>
    <row r="44" spans="1:13" ht="46.8">
      <c r="B44" s="636"/>
      <c r="C44" s="636"/>
      <c r="D44" s="636"/>
      <c r="E44" s="565" t="s">
        <v>1334</v>
      </c>
      <c r="F44" s="565" t="s">
        <v>1333</v>
      </c>
      <c r="G44" s="87"/>
      <c r="H44" s="37"/>
      <c r="I44" s="37"/>
      <c r="J44" s="37"/>
      <c r="K44" s="37"/>
      <c r="L44" s="37"/>
      <c r="M44" s="37"/>
    </row>
    <row r="45" spans="1:13">
      <c r="B45" s="37" t="s">
        <v>1332</v>
      </c>
      <c r="C45" s="37"/>
      <c r="D45" s="37"/>
      <c r="E45" s="926">
        <f>SUM(D20:D22)</f>
        <v>330.00000000000006</v>
      </c>
      <c r="F45" s="926">
        <f>SUM(D40:D42)</f>
        <v>360</v>
      </c>
      <c r="G45" s="37"/>
      <c r="H45" s="37"/>
      <c r="I45" s="37"/>
      <c r="J45" s="37"/>
      <c r="K45" s="37"/>
      <c r="L45" s="37"/>
      <c r="M45" s="37"/>
    </row>
    <row r="46" spans="1:13">
      <c r="B46" s="37" t="s">
        <v>1331</v>
      </c>
      <c r="C46" s="37"/>
      <c r="D46" s="37"/>
      <c r="E46" s="926">
        <f>D20+E21+F22</f>
        <v>364.10000000000014</v>
      </c>
      <c r="F46" s="926">
        <f>D40+E41+F42</f>
        <v>436.79999999999995</v>
      </c>
      <c r="G46" s="37"/>
      <c r="H46" s="37"/>
      <c r="I46" s="638"/>
      <c r="J46" s="37"/>
      <c r="K46" s="37"/>
      <c r="L46" s="37"/>
      <c r="M46" s="37"/>
    </row>
    <row r="47" spans="1:13">
      <c r="B47" s="37"/>
      <c r="C47" s="37"/>
      <c r="D47" s="37"/>
      <c r="E47" s="37"/>
      <c r="F47" s="37"/>
      <c r="G47" s="37"/>
      <c r="H47" s="37"/>
      <c r="I47" s="638"/>
      <c r="J47" s="37"/>
      <c r="K47" s="37"/>
      <c r="L47" s="37"/>
      <c r="M47" s="37"/>
    </row>
    <row r="48" spans="1:13">
      <c r="B48" s="37" t="s">
        <v>1330</v>
      </c>
      <c r="C48" s="37"/>
      <c r="D48" s="37"/>
      <c r="E48" s="37"/>
      <c r="F48" s="948">
        <f>F45/E45-1</f>
        <v>9.0909090909090828E-2</v>
      </c>
      <c r="G48" s="37"/>
      <c r="H48" s="37"/>
      <c r="I48" s="638"/>
      <c r="J48" s="37"/>
      <c r="K48" s="37"/>
      <c r="L48" s="37"/>
      <c r="M48" s="37"/>
    </row>
    <row r="49" spans="2:13">
      <c r="B49" s="37" t="s">
        <v>1329</v>
      </c>
      <c r="C49" s="37"/>
      <c r="D49" s="37"/>
      <c r="E49" s="37"/>
      <c r="F49" s="948">
        <f>F46/E46-1</f>
        <v>0.19967042021422632</v>
      </c>
      <c r="G49" s="37"/>
      <c r="H49" s="37"/>
      <c r="I49" s="37"/>
      <c r="J49" s="37"/>
      <c r="K49" s="37"/>
      <c r="L49" s="37"/>
      <c r="M49" s="37"/>
    </row>
    <row r="50" spans="2:13">
      <c r="B50" s="37"/>
      <c r="C50" s="37"/>
      <c r="D50" s="37"/>
      <c r="E50" s="37"/>
      <c r="F50" s="37"/>
      <c r="G50" s="37"/>
      <c r="H50" s="37"/>
      <c r="I50" s="37"/>
      <c r="J50" s="37"/>
      <c r="K50" s="37"/>
      <c r="L50" s="37"/>
      <c r="M50" s="37"/>
    </row>
  </sheetData>
  <mergeCells count="4">
    <mergeCell ref="A9:L10"/>
    <mergeCell ref="C18:F18"/>
    <mergeCell ref="A28:L30"/>
    <mergeCell ref="C38:F38"/>
  </mergeCells>
  <pageMargins left="0.7" right="0.7" top="0.75" bottom="0.75" header="0.3" footer="0.3"/>
  <pageSetup scale="84" orientation="portrait"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EFFBC-D4CC-4E0F-8629-4931A964F8D6}">
  <dimension ref="A1:R54"/>
  <sheetViews>
    <sheetView zoomScaleNormal="100" workbookViewId="0"/>
  </sheetViews>
  <sheetFormatPr defaultColWidth="8.88671875" defaultRowHeight="15.6"/>
  <cols>
    <col min="1" max="1" width="8.88671875" style="1" customWidth="1"/>
    <col min="2" max="2" width="11.6640625" style="1" customWidth="1"/>
    <col min="3" max="6" width="13.6640625" style="1" customWidth="1"/>
    <col min="7" max="7" width="8.88671875" style="1"/>
    <col min="8" max="8" width="8.88671875" style="1" customWidth="1"/>
    <col min="9" max="16384" width="8.88671875" style="1"/>
  </cols>
  <sheetData>
    <row r="1" spans="1:12" ht="17.399999999999999">
      <c r="A1" s="23" t="s">
        <v>42</v>
      </c>
      <c r="B1" s="22"/>
      <c r="C1" s="22" t="s">
        <v>668</v>
      </c>
      <c r="D1" s="22"/>
      <c r="E1" s="22"/>
      <c r="F1" s="22"/>
      <c r="G1" s="22"/>
      <c r="H1" s="22"/>
      <c r="I1" s="22"/>
      <c r="J1" s="22"/>
      <c r="K1" s="22"/>
      <c r="L1" s="2"/>
    </row>
    <row r="2" spans="1:12">
      <c r="A2" s="22"/>
      <c r="B2" s="22"/>
      <c r="C2" s="22"/>
      <c r="D2" s="22"/>
      <c r="E2" s="22"/>
      <c r="F2" s="22"/>
      <c r="G2" s="22"/>
      <c r="H2" s="22"/>
      <c r="I2" s="22"/>
      <c r="J2" s="22"/>
      <c r="K2" s="22"/>
      <c r="L2" s="2"/>
    </row>
    <row r="3" spans="1:12">
      <c r="A3" s="1724" t="s">
        <v>1359</v>
      </c>
      <c r="B3" s="1724"/>
      <c r="C3" s="1724"/>
      <c r="D3" s="1724"/>
      <c r="E3" s="1724"/>
      <c r="F3" s="1724"/>
      <c r="G3" s="1724"/>
      <c r="H3" s="1724"/>
      <c r="I3" s="1724"/>
      <c r="J3" s="1724"/>
      <c r="K3" s="1724"/>
      <c r="L3" s="2"/>
    </row>
    <row r="4" spans="1:12">
      <c r="A4" s="1724"/>
      <c r="B4" s="1724"/>
      <c r="C4" s="1724"/>
      <c r="D4" s="1724"/>
      <c r="E4" s="1724"/>
      <c r="F4" s="1724"/>
      <c r="G4" s="1724"/>
      <c r="H4" s="1724"/>
      <c r="I4" s="1724"/>
      <c r="J4" s="1724"/>
      <c r="K4" s="1724"/>
      <c r="L4" s="22"/>
    </row>
    <row r="5" spans="1:12">
      <c r="A5" s="22"/>
      <c r="B5" s="22"/>
      <c r="C5" s="22"/>
      <c r="D5" s="22"/>
      <c r="E5" s="22"/>
      <c r="F5" s="22"/>
      <c r="G5" s="22"/>
      <c r="H5" s="22"/>
      <c r="I5" s="22"/>
      <c r="J5" s="22"/>
      <c r="K5" s="22"/>
      <c r="L5" s="22"/>
    </row>
    <row r="6" spans="1:12">
      <c r="A6" s="2"/>
      <c r="B6" s="2"/>
      <c r="C6" s="2"/>
      <c r="D6" s="2"/>
      <c r="E6" s="2"/>
      <c r="F6" s="2"/>
      <c r="G6" s="2"/>
      <c r="H6" s="2"/>
      <c r="I6" s="2"/>
      <c r="J6" s="2"/>
      <c r="K6" s="2"/>
      <c r="L6" s="2"/>
    </row>
    <row r="7" spans="1:12">
      <c r="A7" s="341" t="s">
        <v>667</v>
      </c>
      <c r="B7" s="2"/>
      <c r="C7" s="2"/>
      <c r="D7" s="2"/>
      <c r="E7" s="2"/>
      <c r="F7" s="2"/>
      <c r="G7" s="2"/>
      <c r="H7" s="2"/>
      <c r="I7" s="2"/>
      <c r="J7" s="2"/>
      <c r="K7" s="2"/>
      <c r="L7" s="2"/>
    </row>
    <row r="8" spans="1:12">
      <c r="A8" s="418"/>
      <c r="B8" s="418"/>
      <c r="C8" s="418"/>
      <c r="D8" s="418"/>
      <c r="E8" s="418"/>
      <c r="F8" s="418"/>
      <c r="G8" s="418"/>
      <c r="H8" s="418"/>
      <c r="I8" s="418"/>
      <c r="J8" s="418"/>
      <c r="K8" s="418"/>
      <c r="L8" s="418"/>
    </row>
    <row r="9" spans="1:12">
      <c r="A9" s="341" t="s">
        <v>666</v>
      </c>
      <c r="B9" s="2"/>
      <c r="C9" s="2"/>
      <c r="D9" s="2"/>
      <c r="E9" s="2"/>
      <c r="F9" s="2"/>
      <c r="G9" s="2"/>
      <c r="H9" s="2"/>
      <c r="I9" s="2"/>
      <c r="J9" s="2"/>
      <c r="K9" s="2"/>
      <c r="L9" s="2"/>
    </row>
    <row r="10" spans="1:12">
      <c r="A10" s="418"/>
      <c r="B10" s="418"/>
      <c r="C10" s="418"/>
      <c r="D10" s="418"/>
      <c r="E10" s="418"/>
      <c r="F10" s="418"/>
      <c r="G10" s="418"/>
      <c r="H10" s="418"/>
      <c r="I10" s="418"/>
      <c r="J10" s="418"/>
      <c r="K10" s="418"/>
      <c r="L10" s="418"/>
    </row>
    <row r="11" spans="1:12">
      <c r="A11" s="341" t="s">
        <v>665</v>
      </c>
      <c r="B11" s="2"/>
      <c r="C11" s="2"/>
      <c r="D11" s="2"/>
      <c r="E11" s="2"/>
      <c r="F11" s="2"/>
      <c r="G11" s="2"/>
      <c r="H11" s="2"/>
      <c r="I11" s="2"/>
      <c r="J11" s="2"/>
      <c r="K11" s="2"/>
      <c r="L11" s="2"/>
    </row>
    <row r="12" spans="1:12">
      <c r="A12" s="418"/>
      <c r="B12" s="418"/>
      <c r="C12" s="418"/>
      <c r="D12" s="418"/>
      <c r="E12" s="418"/>
      <c r="F12" s="418"/>
      <c r="G12" s="418"/>
      <c r="H12" s="418"/>
      <c r="I12" s="418"/>
      <c r="J12" s="418"/>
      <c r="K12" s="418"/>
      <c r="L12" s="418"/>
    </row>
    <row r="13" spans="1:12">
      <c r="A13" s="22" t="s">
        <v>1358</v>
      </c>
      <c r="B13" s="22"/>
      <c r="C13" s="22"/>
      <c r="D13" s="22"/>
      <c r="E13" s="22"/>
      <c r="F13" s="22"/>
      <c r="G13" s="22"/>
      <c r="H13" s="22"/>
      <c r="I13" s="22"/>
      <c r="J13" s="22"/>
      <c r="K13" s="22"/>
      <c r="L13" s="2"/>
    </row>
    <row r="14" spans="1:12">
      <c r="A14" s="593"/>
      <c r="B14" s="22"/>
      <c r="C14" s="22"/>
      <c r="D14" s="22"/>
      <c r="E14" s="22"/>
      <c r="F14" s="22"/>
      <c r="G14" s="22"/>
      <c r="H14" s="22"/>
      <c r="I14" s="22"/>
      <c r="J14" s="22"/>
      <c r="K14" s="22"/>
      <c r="L14" s="22"/>
    </row>
    <row r="15" spans="1:12">
      <c r="A15" s="593"/>
      <c r="B15" s="1848" t="s">
        <v>31</v>
      </c>
      <c r="C15" s="1751" t="s">
        <v>1357</v>
      </c>
      <c r="D15" s="1751"/>
      <c r="E15" s="1751"/>
      <c r="F15" s="1751"/>
      <c r="G15" s="22"/>
      <c r="H15" s="22"/>
      <c r="I15" s="22"/>
      <c r="J15" s="22"/>
      <c r="K15" s="22"/>
      <c r="L15" s="22"/>
    </row>
    <row r="16" spans="1:12" ht="31.2">
      <c r="A16" s="593"/>
      <c r="B16" s="1848"/>
      <c r="C16" s="334" t="s">
        <v>1356</v>
      </c>
      <c r="D16" s="1848" t="s">
        <v>1355</v>
      </c>
      <c r="E16" s="1848"/>
      <c r="F16" s="1848"/>
      <c r="G16" s="22"/>
      <c r="H16" s="22"/>
      <c r="I16" s="22"/>
      <c r="J16" s="22"/>
      <c r="K16" s="22"/>
      <c r="L16" s="22"/>
    </row>
    <row r="17" spans="1:18">
      <c r="A17" s="593"/>
      <c r="B17" s="1848"/>
      <c r="C17" s="334">
        <v>100</v>
      </c>
      <c r="D17" s="334">
        <v>250</v>
      </c>
      <c r="E17" s="334">
        <v>500</v>
      </c>
      <c r="F17" s="953">
        <v>1000</v>
      </c>
      <c r="G17" s="22"/>
      <c r="H17" s="22"/>
      <c r="I17" s="22"/>
      <c r="J17" s="22"/>
      <c r="K17" s="22"/>
      <c r="L17" s="22"/>
    </row>
    <row r="18" spans="1:18">
      <c r="A18" s="593"/>
      <c r="B18" s="628">
        <v>2015</v>
      </c>
      <c r="C18" s="526">
        <v>1128906</v>
      </c>
      <c r="D18" s="526">
        <v>1085419</v>
      </c>
      <c r="E18" s="526">
        <v>1038175</v>
      </c>
      <c r="F18" s="526">
        <v>1003976</v>
      </c>
      <c r="G18" s="22"/>
      <c r="H18" s="22"/>
      <c r="I18" s="22"/>
      <c r="J18" s="22"/>
      <c r="K18" s="22"/>
      <c r="L18" s="22"/>
    </row>
    <row r="19" spans="1:18">
      <c r="A19" s="593"/>
      <c r="B19" s="628">
        <v>2016</v>
      </c>
      <c r="C19" s="526">
        <v>1205190</v>
      </c>
      <c r="D19" s="526">
        <v>1114475</v>
      </c>
      <c r="E19" s="526">
        <v>1049455</v>
      </c>
      <c r="F19" s="526">
        <v>1001738</v>
      </c>
      <c r="G19" s="22"/>
      <c r="H19" s="22"/>
      <c r="I19" s="22"/>
      <c r="J19" s="22"/>
      <c r="K19" s="22"/>
      <c r="L19" s="22"/>
    </row>
    <row r="20" spans="1:18">
      <c r="A20" s="593"/>
      <c r="B20" s="628">
        <v>2017</v>
      </c>
      <c r="C20" s="526">
        <v>1259261</v>
      </c>
      <c r="D20" s="526">
        <v>1146143</v>
      </c>
      <c r="E20" s="526">
        <v>1077875</v>
      </c>
      <c r="F20" s="526">
        <v>1028878</v>
      </c>
      <c r="G20" s="22"/>
      <c r="H20" s="22"/>
      <c r="I20" s="22"/>
      <c r="J20" s="22"/>
      <c r="K20" s="22"/>
      <c r="L20" s="22"/>
    </row>
    <row r="21" spans="1:18">
      <c r="A21" s="593"/>
      <c r="B21" s="628">
        <v>2018</v>
      </c>
      <c r="C21" s="526">
        <v>1327281</v>
      </c>
      <c r="D21" s="526">
        <v>1222920</v>
      </c>
      <c r="E21" s="526">
        <v>1150421</v>
      </c>
      <c r="F21" s="526">
        <v>1097933</v>
      </c>
      <c r="G21" s="22"/>
      <c r="H21" s="22"/>
      <c r="I21" s="22"/>
      <c r="J21" s="22"/>
      <c r="K21" s="22"/>
      <c r="L21" s="22"/>
    </row>
    <row r="22" spans="1:18">
      <c r="A22" s="593"/>
      <c r="B22" s="628">
        <v>2019</v>
      </c>
      <c r="C22" s="526">
        <v>1154561</v>
      </c>
      <c r="D22" s="526">
        <v>1039514</v>
      </c>
      <c r="E22" s="526">
        <v>972689</v>
      </c>
      <c r="F22" s="526">
        <v>925746</v>
      </c>
      <c r="G22" s="22"/>
      <c r="H22" s="22"/>
      <c r="I22" s="22"/>
      <c r="J22" s="22"/>
      <c r="K22" s="22"/>
      <c r="L22" s="22"/>
    </row>
    <row r="23" spans="1:18">
      <c r="A23" s="593"/>
      <c r="B23" s="628">
        <v>2020</v>
      </c>
      <c r="C23" s="526">
        <v>1479204</v>
      </c>
      <c r="D23" s="526">
        <v>1371604</v>
      </c>
      <c r="E23" s="526">
        <v>1296218</v>
      </c>
      <c r="F23" s="526">
        <v>1241697</v>
      </c>
      <c r="G23" s="22"/>
      <c r="H23" s="22"/>
      <c r="I23" s="22"/>
      <c r="J23" s="22"/>
      <c r="K23" s="22"/>
      <c r="L23" s="22"/>
    </row>
    <row r="24" spans="1:18">
      <c r="A24" s="593"/>
      <c r="B24" s="22"/>
      <c r="C24" s="22"/>
      <c r="D24" s="22"/>
      <c r="E24" s="22"/>
      <c r="F24" s="22"/>
      <c r="G24" s="22"/>
      <c r="H24" s="22"/>
      <c r="I24" s="22"/>
      <c r="J24" s="22"/>
      <c r="K24" s="22"/>
      <c r="L24" s="22"/>
    </row>
    <row r="25" spans="1:18">
      <c r="A25" s="418"/>
      <c r="B25" s="418"/>
      <c r="C25" s="418"/>
      <c r="D25" s="418"/>
      <c r="E25" s="418"/>
      <c r="F25" s="418"/>
      <c r="G25" s="418"/>
      <c r="H25" s="418"/>
      <c r="I25" s="418"/>
      <c r="J25" s="418"/>
      <c r="K25" s="418"/>
      <c r="L25" s="418"/>
    </row>
    <row r="26" spans="1:18">
      <c r="A26" s="577" t="s">
        <v>4</v>
      </c>
      <c r="B26" s="22" t="s">
        <v>1354</v>
      </c>
      <c r="C26" s="22"/>
      <c r="D26" s="22"/>
      <c r="E26" s="22"/>
      <c r="F26" s="22"/>
      <c r="G26" s="22"/>
      <c r="H26" s="22"/>
      <c r="I26" s="22"/>
      <c r="J26" s="22"/>
      <c r="K26" s="22"/>
      <c r="L26" s="22"/>
      <c r="M26" s="328"/>
      <c r="N26" s="328"/>
      <c r="O26" s="328"/>
      <c r="P26" s="328"/>
      <c r="Q26" s="328"/>
      <c r="R26" s="328"/>
    </row>
    <row r="27" spans="1:18">
      <c r="A27" s="2"/>
      <c r="B27" s="2"/>
      <c r="C27" s="2"/>
      <c r="D27" s="2"/>
      <c r="E27" s="2"/>
      <c r="F27" s="2"/>
      <c r="G27" s="22"/>
      <c r="H27" s="22"/>
      <c r="I27" s="22"/>
      <c r="J27" s="22"/>
      <c r="K27" s="22"/>
      <c r="L27" s="22"/>
    </row>
    <row r="28" spans="1:18">
      <c r="A28" s="37"/>
      <c r="B28" s="37"/>
      <c r="C28" s="37"/>
      <c r="D28" s="37"/>
      <c r="E28" s="37"/>
      <c r="F28" s="37"/>
      <c r="G28" s="37"/>
      <c r="H28" s="37"/>
      <c r="I28" s="37"/>
      <c r="J28" s="37"/>
      <c r="K28" s="37"/>
      <c r="L28" s="37"/>
      <c r="M28" s="37"/>
    </row>
    <row r="29" spans="1:18">
      <c r="A29" s="37" t="s">
        <v>650</v>
      </c>
      <c r="B29" s="37"/>
      <c r="C29" s="37"/>
      <c r="D29" s="37" t="s">
        <v>1353</v>
      </c>
      <c r="E29" s="37"/>
      <c r="F29" s="37"/>
      <c r="G29" s="37"/>
      <c r="H29" s="37"/>
      <c r="I29" s="37"/>
      <c r="J29" s="37"/>
      <c r="K29" s="37"/>
      <c r="L29" s="37"/>
      <c r="M29" s="37"/>
      <c r="N29" s="328"/>
    </row>
    <row r="30" spans="1:18">
      <c r="A30" s="37"/>
      <c r="B30" s="576" t="s">
        <v>47</v>
      </c>
      <c r="C30" s="636"/>
      <c r="D30" s="636">
        <f>D17</f>
        <v>250</v>
      </c>
      <c r="E30" s="636">
        <f>E17</f>
        <v>500</v>
      </c>
      <c r="F30" s="636">
        <f>F17</f>
        <v>1000</v>
      </c>
      <c r="G30" s="37"/>
      <c r="H30" s="37"/>
      <c r="I30" s="37"/>
      <c r="J30" s="37"/>
      <c r="K30" s="37"/>
      <c r="L30" s="37"/>
      <c r="M30" s="37"/>
      <c r="N30" s="328"/>
    </row>
    <row r="31" spans="1:18">
      <c r="A31" s="37"/>
      <c r="B31" s="327">
        <f t="shared" ref="B31:B36" si="0">B18</f>
        <v>2015</v>
      </c>
      <c r="C31" s="37"/>
      <c r="D31" s="952">
        <f t="shared" ref="D31:F36" si="1">($C18-D18)/$C18</f>
        <v>3.8521364932066975E-2</v>
      </c>
      <c r="E31" s="952">
        <f t="shared" si="1"/>
        <v>8.0370730601130647E-2</v>
      </c>
      <c r="F31" s="952">
        <f t="shared" si="1"/>
        <v>0.11066466118525368</v>
      </c>
      <c r="G31" s="37"/>
      <c r="H31" s="37"/>
      <c r="I31" s="37"/>
      <c r="J31" s="37"/>
      <c r="K31" s="37"/>
      <c r="L31" s="37"/>
      <c r="M31" s="37"/>
      <c r="N31" s="328"/>
    </row>
    <row r="32" spans="1:18">
      <c r="B32" s="327">
        <f t="shared" si="0"/>
        <v>2016</v>
      </c>
      <c r="D32" s="952">
        <f t="shared" si="1"/>
        <v>7.5270289331972551E-2</v>
      </c>
      <c r="E32" s="952">
        <f t="shared" si="1"/>
        <v>0.12922028891710022</v>
      </c>
      <c r="F32" s="952">
        <f t="shared" si="1"/>
        <v>0.16881321617338346</v>
      </c>
      <c r="M32" s="328"/>
      <c r="N32" s="328"/>
    </row>
    <row r="33" spans="1:14">
      <c r="B33" s="327">
        <f t="shared" si="0"/>
        <v>2017</v>
      </c>
      <c r="D33" s="952">
        <f t="shared" si="1"/>
        <v>8.9828875824789295E-2</v>
      </c>
      <c r="E33" s="952">
        <f t="shared" si="1"/>
        <v>0.1440416244130486</v>
      </c>
      <c r="F33" s="952">
        <f t="shared" si="1"/>
        <v>0.18295095297956501</v>
      </c>
      <c r="M33" s="328"/>
      <c r="N33" s="328"/>
    </row>
    <row r="34" spans="1:14">
      <c r="B34" s="327">
        <f t="shared" si="0"/>
        <v>2018</v>
      </c>
      <c r="D34" s="952">
        <f t="shared" si="1"/>
        <v>7.862766060841675E-2</v>
      </c>
      <c r="E34" s="952">
        <f t="shared" si="1"/>
        <v>0.13324985440159243</v>
      </c>
      <c r="F34" s="952">
        <f t="shared" si="1"/>
        <v>0.17279536134398066</v>
      </c>
      <c r="M34" s="328"/>
      <c r="N34" s="328"/>
    </row>
    <row r="35" spans="1:14">
      <c r="B35" s="327">
        <f t="shared" si="0"/>
        <v>2019</v>
      </c>
      <c r="D35" s="952">
        <f t="shared" si="1"/>
        <v>9.9645666188274154E-2</v>
      </c>
      <c r="E35" s="952">
        <f t="shared" si="1"/>
        <v>0.15752480813053618</v>
      </c>
      <c r="F35" s="952">
        <f t="shared" si="1"/>
        <v>0.19818355201674057</v>
      </c>
      <c r="M35" s="328"/>
      <c r="N35" s="328"/>
    </row>
    <row r="36" spans="1:14">
      <c r="B36" s="576">
        <f t="shared" si="0"/>
        <v>2020</v>
      </c>
      <c r="C36" s="584"/>
      <c r="D36" s="951">
        <f t="shared" si="1"/>
        <v>7.2741826009123822E-2</v>
      </c>
      <c r="E36" s="951">
        <f t="shared" si="1"/>
        <v>0.12370572280767224</v>
      </c>
      <c r="F36" s="951">
        <f t="shared" si="1"/>
        <v>0.16056406012963728</v>
      </c>
      <c r="M36" s="328"/>
      <c r="N36" s="328"/>
    </row>
    <row r="37" spans="1:14">
      <c r="B37" s="37" t="s">
        <v>1352</v>
      </c>
      <c r="D37" s="774">
        <f>AVERAGE(D31:D36)</f>
        <v>7.5772613815773923E-2</v>
      </c>
      <c r="E37" s="774">
        <f>AVERAGE(E31:E36)</f>
        <v>0.1280188382118467</v>
      </c>
      <c r="F37" s="774">
        <f>AVERAGE(F31:F36)</f>
        <v>0.1656619673047601</v>
      </c>
      <c r="M37" s="328"/>
      <c r="N37" s="328"/>
    </row>
    <row r="38" spans="1:14">
      <c r="B38" s="1" t="s">
        <v>1351</v>
      </c>
      <c r="D38" s="774">
        <f>AVERAGE(D32:D36)</f>
        <v>8.3222863592515323E-2</v>
      </c>
      <c r="E38" s="774">
        <f>AVERAGE(E32:E36)</f>
        <v>0.13754845973398994</v>
      </c>
      <c r="F38" s="774">
        <f>AVERAGE(F32:F36)</f>
        <v>0.1766614285286614</v>
      </c>
      <c r="M38" s="328"/>
      <c r="N38" s="328"/>
    </row>
    <row r="39" spans="1:14">
      <c r="B39" s="1" t="s">
        <v>1350</v>
      </c>
      <c r="D39" s="774">
        <f>D38</f>
        <v>8.3222863592515323E-2</v>
      </c>
      <c r="E39" s="774">
        <f>E38</f>
        <v>0.13754845973398994</v>
      </c>
      <c r="F39" s="774">
        <f>F38</f>
        <v>0.1766614285286614</v>
      </c>
      <c r="M39" s="328"/>
      <c r="N39" s="328"/>
    </row>
    <row r="40" spans="1:14">
      <c r="B40" s="1" t="s">
        <v>1349</v>
      </c>
      <c r="D40" s="478">
        <f>1-D39</f>
        <v>0.91677713640748471</v>
      </c>
      <c r="E40" s="478">
        <f>1-E39</f>
        <v>0.86245154026601001</v>
      </c>
      <c r="F40" s="478">
        <f>1-F39</f>
        <v>0.8233385714713386</v>
      </c>
      <c r="M40" s="328"/>
      <c r="N40" s="328"/>
    </row>
    <row r="41" spans="1:14">
      <c r="M41" s="328"/>
      <c r="N41" s="328"/>
    </row>
    <row r="42" spans="1:14">
      <c r="B42" s="1" t="s">
        <v>1348</v>
      </c>
      <c r="M42" s="328"/>
      <c r="N42" s="328"/>
    </row>
    <row r="44" spans="1:14">
      <c r="A44" s="577" t="s">
        <v>48</v>
      </c>
      <c r="B44" s="22" t="s">
        <v>1347</v>
      </c>
      <c r="C44" s="22"/>
      <c r="D44" s="22"/>
      <c r="E44" s="22"/>
      <c r="F44" s="22"/>
      <c r="G44" s="22"/>
      <c r="H44" s="22"/>
      <c r="I44" s="22"/>
      <c r="J44" s="22"/>
      <c r="K44" s="22"/>
      <c r="L44" s="22"/>
    </row>
    <row r="45" spans="1:14">
      <c r="A45" s="2"/>
      <c r="B45" s="2"/>
      <c r="C45" s="2"/>
      <c r="D45" s="2"/>
      <c r="E45" s="2"/>
      <c r="F45" s="2"/>
      <c r="G45" s="22"/>
      <c r="H45" s="22"/>
      <c r="I45" s="22"/>
      <c r="J45" s="22"/>
      <c r="K45" s="22"/>
      <c r="L45" s="22"/>
    </row>
    <row r="46" spans="1:14">
      <c r="A46" s="37"/>
      <c r="B46" s="37"/>
      <c r="C46" s="37"/>
      <c r="D46" s="37"/>
      <c r="E46" s="37"/>
      <c r="F46" s="37"/>
      <c r="G46" s="37"/>
      <c r="H46" s="37"/>
      <c r="I46" s="37"/>
      <c r="J46" s="37"/>
      <c r="K46" s="37"/>
      <c r="L46" s="37"/>
    </row>
    <row r="47" spans="1:14">
      <c r="A47" s="37" t="s">
        <v>650</v>
      </c>
      <c r="B47" s="37"/>
      <c r="C47" s="37"/>
      <c r="D47" s="37"/>
      <c r="E47" s="37"/>
      <c r="F47" s="37"/>
      <c r="G47" s="37"/>
      <c r="H47" s="37"/>
      <c r="I47" s="37"/>
      <c r="J47" s="37"/>
      <c r="K47" s="37"/>
      <c r="L47" s="37"/>
    </row>
    <row r="48" spans="1:14">
      <c r="A48" s="37"/>
      <c r="B48" s="277"/>
      <c r="C48" s="277" t="s">
        <v>1346</v>
      </c>
      <c r="D48" s="950" t="s">
        <v>1345</v>
      </c>
      <c r="E48" s="37"/>
      <c r="F48" s="37"/>
      <c r="G48" s="37"/>
      <c r="H48" s="37"/>
      <c r="I48" s="37"/>
      <c r="J48" s="37"/>
      <c r="K48" s="37"/>
      <c r="L48" s="37"/>
    </row>
    <row r="49" spans="1:13">
      <c r="A49" s="37"/>
      <c r="B49" s="949">
        <v>100</v>
      </c>
      <c r="C49" s="649">
        <v>1</v>
      </c>
      <c r="D49" s="649"/>
      <c r="E49" s="37"/>
      <c r="F49" s="37"/>
      <c r="G49" s="37"/>
      <c r="H49" s="37"/>
      <c r="I49" s="37"/>
      <c r="J49" s="37"/>
      <c r="K49" s="37"/>
      <c r="L49" s="37"/>
    </row>
    <row r="50" spans="1:13">
      <c r="B50" s="949">
        <v>250</v>
      </c>
      <c r="C50" s="649">
        <f>D40</f>
        <v>0.91677713640748471</v>
      </c>
      <c r="D50" s="649">
        <f>1000*(C49-C50)/(B50-B49)</f>
        <v>0.5548190906167686</v>
      </c>
      <c r="M50" s="37"/>
    </row>
    <row r="51" spans="1:13">
      <c r="B51" s="949">
        <v>500</v>
      </c>
      <c r="C51" s="649">
        <f>E40</f>
        <v>0.86245154026601001</v>
      </c>
      <c r="D51" s="649">
        <f>1000*(C50-C51)/(B51-B50)</f>
        <v>0.21730238456589879</v>
      </c>
      <c r="M51" s="37"/>
    </row>
    <row r="52" spans="1:13">
      <c r="B52" s="949">
        <v>1000</v>
      </c>
      <c r="C52" s="649">
        <f>F40</f>
        <v>0.8233385714713386</v>
      </c>
      <c r="D52" s="649">
        <f>1000*(C51-C52)/(B52-B51)</f>
        <v>7.822593758934282E-2</v>
      </c>
      <c r="M52" s="37"/>
    </row>
    <row r="54" spans="1:13">
      <c r="B54" s="1" t="s">
        <v>1344</v>
      </c>
    </row>
  </sheetData>
  <mergeCells count="4">
    <mergeCell ref="A3:K4"/>
    <mergeCell ref="B15:B17"/>
    <mergeCell ref="C15:F15"/>
    <mergeCell ref="D16:F16"/>
  </mergeCells>
  <pageMargins left="0.7" right="0.7" top="0.75" bottom="0.75" header="0.3" footer="0.3"/>
  <pageSetup scale="6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CA28A-8AB8-4CC5-BE95-9689762A3D28}">
  <dimension ref="A1:R51"/>
  <sheetViews>
    <sheetView zoomScaleNormal="100" workbookViewId="0"/>
  </sheetViews>
  <sheetFormatPr defaultColWidth="8.88671875" defaultRowHeight="15.6"/>
  <cols>
    <col min="1" max="4" width="8.88671875" style="1" customWidth="1"/>
    <col min="5" max="5" width="11.6640625" style="1" customWidth="1"/>
    <col min="6" max="6" width="8.88671875" style="1" customWidth="1"/>
    <col min="7" max="7" width="8.88671875" style="1"/>
    <col min="8" max="8" width="8.88671875" style="1" customWidth="1"/>
    <col min="9" max="16384" width="8.88671875" style="1"/>
  </cols>
  <sheetData>
    <row r="1" spans="1:18" ht="17.399999999999999">
      <c r="A1" s="23" t="s">
        <v>494</v>
      </c>
      <c r="B1" s="22"/>
      <c r="C1" s="22" t="s">
        <v>758</v>
      </c>
      <c r="D1" s="22"/>
      <c r="E1" s="22"/>
      <c r="F1" s="22"/>
      <c r="G1" s="22"/>
      <c r="H1" s="22"/>
      <c r="I1" s="22"/>
      <c r="J1" s="22"/>
      <c r="K1" s="22"/>
      <c r="L1" s="2"/>
    </row>
    <row r="2" spans="1:18">
      <c r="A2" s="22"/>
      <c r="B2" s="22"/>
      <c r="C2" s="22"/>
      <c r="D2" s="22"/>
      <c r="E2" s="22"/>
      <c r="F2" s="22"/>
      <c r="G2" s="22"/>
      <c r="H2" s="22"/>
      <c r="I2" s="22"/>
      <c r="J2" s="22"/>
      <c r="K2" s="22"/>
      <c r="L2" s="2"/>
    </row>
    <row r="3" spans="1:18">
      <c r="A3" s="2"/>
      <c r="B3" s="2"/>
      <c r="C3" s="2"/>
      <c r="D3" s="2"/>
      <c r="E3" s="2"/>
      <c r="F3" s="2"/>
      <c r="G3" s="2"/>
      <c r="H3" s="2"/>
      <c r="I3" s="2"/>
      <c r="J3" s="2"/>
      <c r="K3" s="2"/>
      <c r="L3" s="2"/>
    </row>
    <row r="4" spans="1:18">
      <c r="A4" s="341" t="s">
        <v>667</v>
      </c>
      <c r="B4" s="2"/>
      <c r="C4" s="2"/>
      <c r="D4" s="2"/>
      <c r="E4" s="2"/>
      <c r="F4" s="2"/>
      <c r="G4" s="2"/>
      <c r="H4" s="2"/>
      <c r="I4" s="2"/>
      <c r="J4" s="2"/>
      <c r="K4" s="2"/>
      <c r="L4" s="2"/>
    </row>
    <row r="5" spans="1:18">
      <c r="A5" s="418"/>
      <c r="B5" s="418"/>
      <c r="C5" s="418"/>
      <c r="D5" s="418"/>
      <c r="E5" s="418"/>
      <c r="F5" s="418"/>
      <c r="G5" s="418"/>
      <c r="H5" s="418"/>
      <c r="I5" s="418"/>
      <c r="J5" s="418"/>
      <c r="K5" s="418"/>
      <c r="L5" s="418"/>
    </row>
    <row r="6" spans="1:18">
      <c r="A6" s="577" t="s">
        <v>9</v>
      </c>
      <c r="B6" s="1724" t="s">
        <v>1375</v>
      </c>
      <c r="C6" s="1724"/>
      <c r="D6" s="1724"/>
      <c r="E6" s="1724"/>
      <c r="F6" s="1724"/>
      <c r="G6" s="1724"/>
      <c r="H6" s="1724"/>
      <c r="I6" s="1724"/>
      <c r="J6" s="1724"/>
      <c r="K6" s="1724"/>
      <c r="L6" s="22"/>
      <c r="M6" s="328"/>
      <c r="N6" s="328"/>
      <c r="O6" s="328"/>
      <c r="P6" s="328"/>
      <c r="Q6" s="328"/>
      <c r="R6" s="328"/>
    </row>
    <row r="7" spans="1:18">
      <c r="A7" s="577"/>
      <c r="B7" s="1724"/>
      <c r="C7" s="1724"/>
      <c r="D7" s="1724"/>
      <c r="E7" s="1724"/>
      <c r="F7" s="1724"/>
      <c r="G7" s="1724"/>
      <c r="H7" s="1724"/>
      <c r="I7" s="1724"/>
      <c r="J7" s="1724"/>
      <c r="K7" s="1724"/>
      <c r="L7" s="22"/>
      <c r="M7" s="328"/>
      <c r="N7" s="328"/>
      <c r="O7" s="328"/>
      <c r="P7" s="328"/>
      <c r="Q7" s="328"/>
      <c r="R7" s="328"/>
    </row>
    <row r="8" spans="1:18">
      <c r="A8" s="2"/>
      <c r="B8" s="2"/>
      <c r="C8" s="2"/>
      <c r="D8" s="2"/>
      <c r="E8" s="2"/>
      <c r="F8" s="2"/>
      <c r="G8" s="22"/>
      <c r="H8" s="22"/>
      <c r="I8" s="22"/>
      <c r="J8" s="22"/>
      <c r="K8" s="22"/>
      <c r="L8" s="22"/>
    </row>
    <row r="9" spans="1:18">
      <c r="A9" s="37"/>
      <c r="B9" s="37"/>
      <c r="C9" s="37"/>
      <c r="D9" s="37"/>
      <c r="E9" s="37"/>
      <c r="F9" s="37"/>
      <c r="G9" s="37"/>
      <c r="H9" s="37"/>
      <c r="I9" s="37"/>
      <c r="J9" s="37"/>
      <c r="K9" s="37"/>
      <c r="L9" s="37"/>
      <c r="M9" s="37"/>
    </row>
    <row r="10" spans="1:18">
      <c r="A10" s="37" t="s">
        <v>650</v>
      </c>
      <c r="B10" s="37"/>
      <c r="C10" s="37"/>
      <c r="D10" s="37"/>
      <c r="E10" s="37"/>
      <c r="F10" s="37"/>
      <c r="G10" s="37"/>
      <c r="H10" s="37"/>
      <c r="I10" s="37"/>
      <c r="J10" s="37"/>
      <c r="K10" s="37"/>
      <c r="L10" s="37"/>
      <c r="M10" s="37"/>
      <c r="N10" s="328"/>
    </row>
    <row r="11" spans="1:18">
      <c r="A11" s="37"/>
      <c r="B11" s="37"/>
      <c r="C11" s="37"/>
      <c r="D11" s="37"/>
      <c r="E11" s="37"/>
      <c r="F11" s="37"/>
      <c r="G11" s="37"/>
      <c r="H11" s="37"/>
      <c r="I11" s="37"/>
      <c r="J11" s="37"/>
      <c r="K11" s="37"/>
      <c r="L11" s="37"/>
      <c r="M11" s="37"/>
      <c r="N11" s="328"/>
    </row>
    <row r="12" spans="1:18">
      <c r="A12" s="37" t="s">
        <v>1374</v>
      </c>
      <c r="B12" s="37"/>
      <c r="C12" s="37"/>
      <c r="D12" s="37"/>
      <c r="E12" s="37"/>
      <c r="F12" s="37"/>
      <c r="G12" s="37"/>
      <c r="H12" s="37"/>
      <c r="I12" s="37"/>
      <c r="J12" s="37"/>
      <c r="K12" s="37"/>
      <c r="L12" s="37"/>
      <c r="M12" s="955"/>
      <c r="N12" s="328"/>
    </row>
    <row r="13" spans="1:18">
      <c r="A13" s="37" t="s">
        <v>1373</v>
      </c>
      <c r="M13" s="954"/>
      <c r="N13" s="328"/>
    </row>
    <row r="14" spans="1:18">
      <c r="A14" s="37" t="s">
        <v>1372</v>
      </c>
      <c r="M14" s="328"/>
      <c r="N14" s="328"/>
    </row>
    <row r="15" spans="1:18">
      <c r="M15" s="328"/>
      <c r="N15" s="328"/>
    </row>
    <row r="16" spans="1:18">
      <c r="A16" s="1724" t="s">
        <v>1371</v>
      </c>
      <c r="B16" s="1724"/>
      <c r="C16" s="1724"/>
      <c r="D16" s="1724"/>
      <c r="E16" s="1724"/>
      <c r="F16" s="1724"/>
      <c r="G16" s="1724"/>
      <c r="H16" s="1724"/>
      <c r="I16" s="1724"/>
      <c r="J16" s="1724"/>
      <c r="K16" s="1724"/>
      <c r="L16" s="22"/>
      <c r="M16" s="328"/>
      <c r="N16" s="328"/>
    </row>
    <row r="17" spans="1:14">
      <c r="A17" s="1724"/>
      <c r="B17" s="1724"/>
      <c r="C17" s="1724"/>
      <c r="D17" s="1724"/>
      <c r="E17" s="1724"/>
      <c r="F17" s="1724"/>
      <c r="G17" s="1724"/>
      <c r="H17" s="1724"/>
      <c r="I17" s="1724"/>
      <c r="J17" s="1724"/>
      <c r="K17" s="1724"/>
      <c r="L17" s="22"/>
      <c r="M17" s="328"/>
      <c r="N17" s="328"/>
    </row>
    <row r="18" spans="1:14">
      <c r="A18" s="1724"/>
      <c r="B18" s="1724"/>
      <c r="C18" s="1724"/>
      <c r="D18" s="1724"/>
      <c r="E18" s="1724"/>
      <c r="F18" s="1724"/>
      <c r="G18" s="1724"/>
      <c r="H18" s="1724"/>
      <c r="I18" s="1724"/>
      <c r="J18" s="1724"/>
      <c r="K18" s="1724"/>
      <c r="L18" s="22"/>
      <c r="M18" s="328"/>
      <c r="N18" s="328"/>
    </row>
    <row r="19" spans="1:14">
      <c r="A19" s="22"/>
      <c r="B19" s="22"/>
      <c r="C19" s="22"/>
      <c r="D19" s="22"/>
      <c r="E19" s="22"/>
      <c r="F19" s="22"/>
      <c r="G19" s="22"/>
      <c r="H19" s="22"/>
      <c r="I19" s="22"/>
      <c r="J19" s="22"/>
      <c r="K19" s="22"/>
      <c r="L19" s="22"/>
      <c r="M19" s="328"/>
      <c r="N19" s="328"/>
    </row>
    <row r="20" spans="1:14">
      <c r="A20" s="2"/>
      <c r="B20" s="2"/>
      <c r="C20" s="2"/>
      <c r="D20" s="2"/>
      <c r="E20" s="2"/>
      <c r="F20" s="2"/>
      <c r="G20" s="2"/>
      <c r="H20" s="2"/>
      <c r="I20" s="2"/>
      <c r="J20" s="2"/>
      <c r="K20" s="2"/>
      <c r="L20" s="2"/>
    </row>
    <row r="21" spans="1:14">
      <c r="A21" s="577" t="s">
        <v>7</v>
      </c>
      <c r="B21" s="22" t="s">
        <v>1370</v>
      </c>
      <c r="C21" s="22"/>
      <c r="D21" s="22"/>
      <c r="E21" s="22"/>
      <c r="F21" s="22"/>
      <c r="G21" s="22"/>
      <c r="H21" s="22"/>
      <c r="I21" s="22"/>
      <c r="J21" s="22"/>
      <c r="K21" s="22"/>
      <c r="L21" s="22"/>
    </row>
    <row r="22" spans="1:14">
      <c r="A22" s="577"/>
      <c r="B22" s="22"/>
      <c r="C22" s="22"/>
      <c r="D22" s="22"/>
      <c r="E22" s="22"/>
      <c r="F22" s="22"/>
      <c r="G22" s="22"/>
      <c r="H22" s="22"/>
      <c r="I22" s="22"/>
      <c r="J22" s="22"/>
      <c r="K22" s="22"/>
      <c r="L22" s="22"/>
    </row>
    <row r="23" spans="1:14">
      <c r="A23" s="577"/>
      <c r="B23" s="593" t="s">
        <v>350</v>
      </c>
      <c r="C23" s="22" t="s">
        <v>1369</v>
      </c>
      <c r="D23" s="22"/>
      <c r="E23" s="22"/>
      <c r="F23" s="22"/>
      <c r="G23" s="22"/>
      <c r="H23" s="22"/>
      <c r="I23" s="22"/>
      <c r="J23" s="22"/>
      <c r="K23" s="22"/>
      <c r="L23" s="22"/>
    </row>
    <row r="24" spans="1:14">
      <c r="A24" s="577"/>
      <c r="B24" s="593" t="s">
        <v>344</v>
      </c>
      <c r="C24" s="22" t="s">
        <v>1368</v>
      </c>
      <c r="D24" s="22"/>
      <c r="E24" s="22"/>
      <c r="F24" s="22"/>
      <c r="G24" s="22"/>
      <c r="H24" s="22"/>
      <c r="I24" s="22"/>
      <c r="J24" s="22"/>
      <c r="K24" s="22"/>
      <c r="L24" s="22"/>
    </row>
    <row r="25" spans="1:14">
      <c r="A25" s="2"/>
      <c r="B25" s="2"/>
      <c r="C25" s="2"/>
      <c r="D25" s="2"/>
      <c r="E25" s="2"/>
      <c r="F25" s="2"/>
      <c r="G25" s="22"/>
      <c r="H25" s="22"/>
      <c r="I25" s="22"/>
      <c r="J25" s="22"/>
      <c r="K25" s="22"/>
      <c r="L25" s="22"/>
    </row>
    <row r="26" spans="1:14">
      <c r="A26" s="37"/>
      <c r="B26" s="37"/>
      <c r="C26" s="37"/>
      <c r="D26" s="37"/>
      <c r="E26" s="37"/>
      <c r="F26" s="37"/>
      <c r="G26" s="37"/>
      <c r="H26" s="37"/>
      <c r="I26" s="37"/>
      <c r="J26" s="37"/>
      <c r="K26" s="37"/>
      <c r="L26" s="37"/>
    </row>
    <row r="27" spans="1:14">
      <c r="A27" s="37" t="s">
        <v>650</v>
      </c>
      <c r="B27" s="37"/>
      <c r="C27" s="37"/>
      <c r="D27" s="37"/>
      <c r="E27" s="37"/>
      <c r="F27" s="37"/>
      <c r="G27" s="37"/>
      <c r="H27" s="37"/>
      <c r="I27" s="37"/>
      <c r="J27" s="37"/>
      <c r="K27" s="37"/>
      <c r="L27" s="37"/>
    </row>
    <row r="28" spans="1:14">
      <c r="A28" s="37"/>
      <c r="C28" s="1853" t="s">
        <v>1220</v>
      </c>
      <c r="D28" s="1853"/>
      <c r="E28" s="1853"/>
      <c r="F28" s="1853"/>
      <c r="I28" s="37"/>
    </row>
    <row r="29" spans="1:14">
      <c r="A29" s="37"/>
      <c r="B29" s="603" t="s">
        <v>1335</v>
      </c>
      <c r="C29" s="603">
        <v>1</v>
      </c>
      <c r="D29" s="603">
        <f>C29+1</f>
        <v>2</v>
      </c>
      <c r="E29" s="603">
        <f>D29+1</f>
        <v>3</v>
      </c>
      <c r="F29" s="603">
        <f>E29+1</f>
        <v>4</v>
      </c>
      <c r="I29" s="37"/>
    </row>
    <row r="30" spans="1:14">
      <c r="A30" s="37"/>
      <c r="B30" s="277">
        <v>0</v>
      </c>
      <c r="C30" s="277">
        <v>0.4</v>
      </c>
      <c r="D30" s="277">
        <f t="shared" ref="D30:F33" si="0">C30</f>
        <v>0.4</v>
      </c>
      <c r="E30" s="277">
        <f t="shared" si="0"/>
        <v>0.4</v>
      </c>
      <c r="F30" s="277">
        <f t="shared" si="0"/>
        <v>0.4</v>
      </c>
      <c r="I30" s="37"/>
    </row>
    <row r="31" spans="1:14">
      <c r="A31" s="37"/>
      <c r="B31" s="277">
        <f>B30+1</f>
        <v>1</v>
      </c>
      <c r="C31" s="277">
        <v>0.2</v>
      </c>
      <c r="D31" s="277">
        <f t="shared" si="0"/>
        <v>0.2</v>
      </c>
      <c r="E31" s="277">
        <f t="shared" si="0"/>
        <v>0.2</v>
      </c>
      <c r="F31" s="277">
        <f t="shared" si="0"/>
        <v>0.2</v>
      </c>
      <c r="I31" s="37"/>
    </row>
    <row r="32" spans="1:14">
      <c r="A32" s="37"/>
      <c r="B32" s="277">
        <f>B31+1</f>
        <v>2</v>
      </c>
      <c r="C32" s="277">
        <v>0.2</v>
      </c>
      <c r="D32" s="277">
        <f t="shared" si="0"/>
        <v>0.2</v>
      </c>
      <c r="E32" s="277">
        <f t="shared" si="0"/>
        <v>0.2</v>
      </c>
      <c r="F32" s="277">
        <f t="shared" si="0"/>
        <v>0.2</v>
      </c>
      <c r="I32" s="37"/>
    </row>
    <row r="33" spans="1:13">
      <c r="A33" s="37"/>
      <c r="B33" s="277">
        <f>B32+1</f>
        <v>3</v>
      </c>
      <c r="C33" s="277">
        <v>0.2</v>
      </c>
      <c r="D33" s="277">
        <f t="shared" si="0"/>
        <v>0.2</v>
      </c>
      <c r="E33" s="277">
        <f t="shared" si="0"/>
        <v>0.2</v>
      </c>
      <c r="F33" s="277">
        <f t="shared" si="0"/>
        <v>0.2</v>
      </c>
      <c r="I33" s="37"/>
    </row>
    <row r="34" spans="1:13">
      <c r="A34" s="37"/>
      <c r="B34" s="277"/>
      <c r="C34" s="277"/>
      <c r="D34" s="277"/>
      <c r="E34" s="277"/>
      <c r="F34" s="277"/>
      <c r="I34" s="37"/>
    </row>
    <row r="35" spans="1:13">
      <c r="A35" s="37"/>
      <c r="B35" s="1" t="s">
        <v>1367</v>
      </c>
      <c r="I35" s="37"/>
      <c r="J35" s="37"/>
      <c r="K35" s="37"/>
      <c r="L35" s="37"/>
    </row>
    <row r="36" spans="1:13">
      <c r="B36" s="1" t="s">
        <v>1366</v>
      </c>
      <c r="D36" s="1">
        <f>SUM(D31:D32,E32:E33,F33)/SUM(C30:C31)</f>
        <v>1.6666666666666665</v>
      </c>
      <c r="M36" s="37"/>
    </row>
    <row r="37" spans="1:13">
      <c r="M37" s="37"/>
    </row>
    <row r="38" spans="1:13">
      <c r="B38" s="1" t="s">
        <v>1365</v>
      </c>
      <c r="D38" s="1">
        <f>SUM(D31:D33,E32:E33,F33)/SUM(C30:C33)</f>
        <v>1.2</v>
      </c>
      <c r="M38" s="37"/>
    </row>
    <row r="40" spans="1:13">
      <c r="A40" s="577" t="s">
        <v>4</v>
      </c>
      <c r="B40" s="1724" t="s">
        <v>1364</v>
      </c>
      <c r="C40" s="1724"/>
      <c r="D40" s="1724"/>
      <c r="E40" s="1724"/>
      <c r="F40" s="1724"/>
      <c r="G40" s="1724"/>
      <c r="H40" s="1724"/>
      <c r="I40" s="1724"/>
      <c r="J40" s="1724"/>
      <c r="K40" s="1724"/>
      <c r="L40" s="22"/>
    </row>
    <row r="41" spans="1:13">
      <c r="A41" s="577"/>
      <c r="B41" s="1724"/>
      <c r="C41" s="1724"/>
      <c r="D41" s="1724"/>
      <c r="E41" s="1724"/>
      <c r="F41" s="1724"/>
      <c r="G41" s="1724"/>
      <c r="H41" s="1724"/>
      <c r="I41" s="1724"/>
      <c r="J41" s="1724"/>
      <c r="K41" s="1724"/>
      <c r="L41" s="22"/>
    </row>
    <row r="42" spans="1:13">
      <c r="A42" s="2"/>
      <c r="B42" s="2"/>
      <c r="C42" s="2"/>
      <c r="D42" s="2"/>
      <c r="E42" s="2"/>
      <c r="F42" s="2"/>
      <c r="G42" s="22"/>
      <c r="H42" s="22"/>
      <c r="I42" s="22"/>
      <c r="J42" s="22"/>
      <c r="K42" s="22"/>
      <c r="L42" s="22"/>
    </row>
    <row r="43" spans="1:13">
      <c r="A43" s="37"/>
      <c r="B43" s="37"/>
      <c r="C43" s="37"/>
      <c r="D43" s="37"/>
      <c r="E43" s="37"/>
      <c r="F43" s="37"/>
      <c r="G43" s="37"/>
      <c r="H43" s="37"/>
      <c r="I43" s="37"/>
      <c r="J43" s="37"/>
      <c r="K43" s="37"/>
      <c r="L43" s="37"/>
    </row>
    <row r="44" spans="1:13">
      <c r="A44" s="37" t="s">
        <v>650</v>
      </c>
      <c r="B44" s="37"/>
      <c r="C44" s="37"/>
      <c r="D44" s="37"/>
      <c r="E44" s="37"/>
      <c r="F44" s="37"/>
      <c r="G44" s="37"/>
      <c r="H44" s="37"/>
      <c r="I44" s="37"/>
      <c r="J44" s="37"/>
      <c r="K44" s="37"/>
      <c r="L44" s="37"/>
    </row>
    <row r="45" spans="1:13">
      <c r="A45" s="37"/>
      <c r="B45" s="1" t="s">
        <v>1363</v>
      </c>
      <c r="F45" s="37"/>
      <c r="G45" s="37"/>
      <c r="H45" s="37"/>
      <c r="I45" s="37"/>
      <c r="J45" s="37"/>
      <c r="K45" s="37"/>
      <c r="L45" s="37"/>
    </row>
    <row r="46" spans="1:13">
      <c r="A46" s="37"/>
      <c r="B46" s="1" t="s">
        <v>1362</v>
      </c>
      <c r="E46" s="558">
        <f>0.5*25000</f>
        <v>12500</v>
      </c>
      <c r="F46" s="37"/>
      <c r="G46" s="37"/>
      <c r="H46" s="37"/>
      <c r="I46" s="37"/>
      <c r="J46" s="37"/>
      <c r="K46" s="37"/>
      <c r="L46" s="37"/>
    </row>
    <row r="47" spans="1:13">
      <c r="B47" s="1" t="s">
        <v>1361</v>
      </c>
      <c r="E47" s="558">
        <f>25000*1/3</f>
        <v>8333.3333333333339</v>
      </c>
    </row>
    <row r="48" spans="1:13">
      <c r="B48" s="1" t="s">
        <v>1360</v>
      </c>
      <c r="E48" s="558">
        <f>25000/6</f>
        <v>4166.666666666667</v>
      </c>
    </row>
    <row r="49" spans="13:14">
      <c r="M49" s="37"/>
      <c r="N49" s="37"/>
    </row>
    <row r="50" spans="13:14">
      <c r="M50" s="37"/>
      <c r="N50" s="37"/>
    </row>
    <row r="51" spans="13:14">
      <c r="M51" s="37"/>
      <c r="N51" s="37"/>
    </row>
  </sheetData>
  <mergeCells count="4">
    <mergeCell ref="B6:K7"/>
    <mergeCell ref="A16:K18"/>
    <mergeCell ref="C28:F28"/>
    <mergeCell ref="B40:K41"/>
  </mergeCells>
  <pageMargins left="0.7" right="0.7" top="0.75" bottom="0.75" header="0.3" footer="0.3"/>
  <pageSetup scale="84"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1051-ACE7-4742-87E9-2CEC10C28201}">
  <dimension ref="A1:R92"/>
  <sheetViews>
    <sheetView zoomScaleNormal="100" workbookViewId="0"/>
  </sheetViews>
  <sheetFormatPr defaultColWidth="8.88671875" defaultRowHeight="15.6"/>
  <cols>
    <col min="1" max="1" width="8.88671875" style="1" customWidth="1"/>
    <col min="2" max="2" width="9.6640625" style="1" customWidth="1"/>
    <col min="3" max="3" width="11.109375" style="1" customWidth="1"/>
    <col min="4" max="7" width="9.6640625" style="1" customWidth="1"/>
    <col min="8" max="8" width="14.21875" style="1" customWidth="1"/>
    <col min="9" max="12" width="9.6640625" style="1" customWidth="1"/>
    <col min="13" max="16384" width="8.88671875" style="1"/>
  </cols>
  <sheetData>
    <row r="1" spans="1:12" ht="17.399999999999999">
      <c r="A1" s="23" t="s">
        <v>707</v>
      </c>
      <c r="B1" s="22"/>
      <c r="C1" s="22" t="s">
        <v>668</v>
      </c>
      <c r="D1" s="22"/>
      <c r="E1" s="22"/>
      <c r="F1" s="22"/>
      <c r="G1" s="22"/>
      <c r="H1" s="22"/>
      <c r="I1" s="22"/>
      <c r="J1" s="22"/>
      <c r="K1" s="22"/>
      <c r="L1" s="2"/>
    </row>
    <row r="2" spans="1:12">
      <c r="A2" s="22"/>
      <c r="B2" s="22"/>
      <c r="C2" s="22"/>
      <c r="D2" s="22"/>
      <c r="E2" s="22"/>
      <c r="F2" s="22"/>
      <c r="G2" s="22"/>
      <c r="H2" s="22"/>
      <c r="I2" s="22"/>
      <c r="J2" s="22"/>
      <c r="K2" s="22"/>
      <c r="L2" s="2"/>
    </row>
    <row r="3" spans="1:12">
      <c r="A3" s="1724" t="s">
        <v>1400</v>
      </c>
      <c r="B3" s="1724"/>
      <c r="C3" s="1724"/>
      <c r="D3" s="1724"/>
      <c r="E3" s="1724"/>
      <c r="F3" s="1724"/>
      <c r="G3" s="1724"/>
      <c r="H3" s="1724"/>
      <c r="I3" s="1724"/>
      <c r="J3" s="1724"/>
      <c r="K3" s="1724"/>
      <c r="L3" s="2"/>
    </row>
    <row r="4" spans="1:12">
      <c r="A4" s="1724"/>
      <c r="B4" s="1724"/>
      <c r="C4" s="1724"/>
      <c r="D4" s="1724"/>
      <c r="E4" s="1724"/>
      <c r="F4" s="1724"/>
      <c r="G4" s="1724"/>
      <c r="H4" s="1724"/>
      <c r="I4" s="1724"/>
      <c r="J4" s="1724"/>
      <c r="K4" s="1724"/>
      <c r="L4" s="22"/>
    </row>
    <row r="5" spans="1:12">
      <c r="A5" s="593"/>
      <c r="B5" s="22" t="s">
        <v>1399</v>
      </c>
      <c r="C5" s="22"/>
      <c r="D5" s="22"/>
      <c r="E5" s="22"/>
      <c r="F5" s="22"/>
      <c r="G5" s="22"/>
      <c r="H5" s="22"/>
      <c r="I5" s="22"/>
      <c r="J5" s="22"/>
      <c r="K5" s="22"/>
      <c r="L5" s="22"/>
    </row>
    <row r="6" spans="1:12">
      <c r="A6" s="593"/>
      <c r="B6" s="22"/>
      <c r="C6" s="22"/>
      <c r="D6" s="22"/>
      <c r="E6" s="22"/>
      <c r="F6" s="22"/>
      <c r="G6" s="22"/>
      <c r="H6" s="22"/>
      <c r="I6" s="22"/>
      <c r="J6" s="22"/>
      <c r="K6" s="22"/>
      <c r="L6" s="22"/>
    </row>
    <row r="7" spans="1:12">
      <c r="A7" s="22" t="s">
        <v>1398</v>
      </c>
      <c r="B7" s="22"/>
      <c r="C7" s="22"/>
      <c r="D7" s="22"/>
      <c r="E7" s="22"/>
      <c r="F7" s="22"/>
      <c r="G7" s="22"/>
      <c r="H7" s="22"/>
      <c r="I7" s="22"/>
      <c r="J7" s="22"/>
      <c r="K7" s="22"/>
      <c r="L7" s="22"/>
    </row>
    <row r="8" spans="1:12">
      <c r="A8" s="593"/>
      <c r="B8" s="22"/>
      <c r="C8" s="22"/>
      <c r="D8" s="22"/>
      <c r="E8" s="22"/>
      <c r="F8" s="22"/>
      <c r="G8" s="22"/>
      <c r="H8" s="22"/>
      <c r="I8" s="22"/>
      <c r="J8" s="22"/>
      <c r="K8" s="22"/>
      <c r="L8" s="22"/>
    </row>
    <row r="9" spans="1:12">
      <c r="A9" s="22"/>
      <c r="B9" s="1751" t="s">
        <v>1390</v>
      </c>
      <c r="C9" s="1751"/>
      <c r="D9" s="1751"/>
      <c r="E9" s="1751"/>
      <c r="F9" s="22"/>
      <c r="G9" s="22"/>
      <c r="H9" s="22"/>
      <c r="I9" s="22"/>
      <c r="J9" s="22"/>
      <c r="K9" s="22"/>
      <c r="L9" s="22"/>
    </row>
    <row r="10" spans="1:12">
      <c r="A10" s="22"/>
      <c r="B10" s="1751" t="s">
        <v>1389</v>
      </c>
      <c r="C10" s="1751" t="s">
        <v>1388</v>
      </c>
      <c r="D10" s="1751"/>
      <c r="E10" s="1751"/>
      <c r="F10" s="22"/>
      <c r="G10" s="22"/>
      <c r="H10" s="22"/>
      <c r="I10" s="22"/>
      <c r="J10" s="22"/>
      <c r="K10" s="22"/>
      <c r="L10" s="22"/>
    </row>
    <row r="11" spans="1:12">
      <c r="A11" s="593"/>
      <c r="B11" s="1751"/>
      <c r="C11" s="334">
        <v>1</v>
      </c>
      <c r="D11" s="334">
        <v>2</v>
      </c>
      <c r="E11" s="334">
        <v>3</v>
      </c>
      <c r="F11" s="22"/>
      <c r="G11" s="22"/>
      <c r="H11" s="22"/>
      <c r="I11" s="22"/>
      <c r="J11" s="22"/>
      <c r="K11" s="22"/>
      <c r="L11" s="22"/>
    </row>
    <row r="12" spans="1:12">
      <c r="A12" s="22"/>
      <c r="B12" s="628" t="s">
        <v>1231</v>
      </c>
      <c r="C12" s="526">
        <v>2700</v>
      </c>
      <c r="D12" s="526">
        <v>2700</v>
      </c>
      <c r="E12" s="526">
        <v>2025</v>
      </c>
      <c r="F12" s="22"/>
      <c r="G12" s="22"/>
      <c r="H12" s="22"/>
      <c r="I12" s="22"/>
      <c r="J12" s="22"/>
      <c r="K12" s="22"/>
      <c r="L12" s="22"/>
    </row>
    <row r="13" spans="1:12">
      <c r="A13" s="22"/>
      <c r="B13" s="628" t="s">
        <v>1230</v>
      </c>
      <c r="C13" s="526">
        <v>1350</v>
      </c>
      <c r="D13" s="526">
        <v>2025</v>
      </c>
      <c r="E13" s="526">
        <v>2700</v>
      </c>
      <c r="F13" s="22"/>
      <c r="G13" s="22"/>
      <c r="H13" s="22"/>
      <c r="I13" s="22"/>
      <c r="J13" s="22"/>
      <c r="K13" s="22"/>
      <c r="L13" s="22"/>
    </row>
    <row r="14" spans="1:12">
      <c r="A14" s="22"/>
      <c r="B14" s="628" t="s">
        <v>1229</v>
      </c>
      <c r="C14" s="526">
        <v>1350</v>
      </c>
      <c r="D14" s="628">
        <v>675</v>
      </c>
      <c r="E14" s="526">
        <v>4050</v>
      </c>
      <c r="F14" s="22"/>
      <c r="G14" s="22"/>
      <c r="H14" s="22"/>
      <c r="I14" s="22"/>
      <c r="J14" s="22"/>
      <c r="K14" s="22"/>
      <c r="L14" s="22"/>
    </row>
    <row r="15" spans="1:12">
      <c r="A15" s="22"/>
      <c r="B15" s="22"/>
      <c r="C15" s="22"/>
      <c r="D15" s="22"/>
      <c r="E15" s="22"/>
      <c r="F15" s="22"/>
      <c r="G15" s="22"/>
      <c r="H15" s="22"/>
      <c r="I15" s="22"/>
      <c r="J15" s="22"/>
      <c r="K15" s="22"/>
      <c r="L15" s="22"/>
    </row>
    <row r="16" spans="1:12">
      <c r="A16" s="2"/>
      <c r="B16" s="2"/>
      <c r="C16" s="2"/>
      <c r="D16" s="2"/>
      <c r="E16" s="2"/>
      <c r="F16" s="2"/>
      <c r="G16" s="2"/>
      <c r="H16" s="2"/>
      <c r="I16" s="2"/>
      <c r="J16" s="2"/>
      <c r="K16" s="2"/>
      <c r="L16" s="2"/>
    </row>
    <row r="17" spans="1:18">
      <c r="A17" s="577" t="s">
        <v>80</v>
      </c>
      <c r="B17" s="22" t="s">
        <v>1397</v>
      </c>
      <c r="C17" s="22"/>
      <c r="D17" s="22"/>
      <c r="E17" s="22"/>
      <c r="F17" s="22"/>
      <c r="G17" s="22"/>
      <c r="H17" s="22"/>
      <c r="I17" s="22"/>
      <c r="J17" s="22"/>
      <c r="K17" s="22"/>
      <c r="L17" s="22"/>
      <c r="M17" s="328"/>
      <c r="N17" s="328"/>
      <c r="O17" s="328"/>
      <c r="P17" s="328"/>
      <c r="Q17" s="328"/>
      <c r="R17" s="328"/>
    </row>
    <row r="18" spans="1:18">
      <c r="A18" s="2"/>
      <c r="B18" s="2"/>
      <c r="C18" s="2"/>
      <c r="D18" s="2"/>
      <c r="E18" s="2"/>
      <c r="F18" s="2"/>
      <c r="G18" s="22"/>
      <c r="H18" s="22"/>
      <c r="I18" s="22"/>
      <c r="J18" s="22"/>
      <c r="K18" s="22"/>
      <c r="L18" s="22"/>
    </row>
    <row r="19" spans="1:18">
      <c r="A19" s="37"/>
      <c r="B19" s="37"/>
      <c r="C19" s="37"/>
      <c r="D19" s="37"/>
      <c r="E19" s="37"/>
      <c r="F19" s="37"/>
      <c r="G19" s="37"/>
      <c r="H19" s="37"/>
      <c r="I19" s="37"/>
      <c r="J19" s="37"/>
      <c r="K19" s="37"/>
      <c r="L19" s="37"/>
      <c r="M19" s="37"/>
    </row>
    <row r="20" spans="1:18">
      <c r="A20" s="37" t="s">
        <v>650</v>
      </c>
      <c r="B20" s="37"/>
      <c r="C20" s="37"/>
      <c r="D20" s="37"/>
      <c r="E20" s="37"/>
      <c r="F20" s="37"/>
      <c r="G20" s="37"/>
      <c r="H20" s="37"/>
      <c r="I20" s="37"/>
      <c r="J20" s="37"/>
      <c r="K20" s="37"/>
      <c r="L20" s="37"/>
      <c r="M20" s="37"/>
      <c r="N20" s="328"/>
    </row>
    <row r="21" spans="1:18">
      <c r="A21" s="37"/>
      <c r="C21" s="352"/>
      <c r="D21" s="352"/>
      <c r="E21" s="37"/>
      <c r="F21" s="37"/>
      <c r="G21" s="37"/>
      <c r="H21" s="37"/>
      <c r="I21" s="37"/>
      <c r="J21" s="37"/>
      <c r="K21" s="37"/>
      <c r="L21" s="37"/>
      <c r="M21" s="37"/>
      <c r="N21" s="328"/>
    </row>
    <row r="22" spans="1:18">
      <c r="A22" s="37"/>
      <c r="B22" s="1737" t="s">
        <v>1390</v>
      </c>
      <c r="C22" s="1737"/>
      <c r="D22" s="1737"/>
      <c r="E22" s="1737"/>
      <c r="F22" s="1854" t="s">
        <v>1396</v>
      </c>
      <c r="G22" s="1855"/>
      <c r="H22" s="1856"/>
      <c r="I22" s="37"/>
      <c r="J22" s="37"/>
      <c r="K22" s="37"/>
      <c r="L22" s="37"/>
      <c r="M22" s="37"/>
      <c r="N22" s="328"/>
    </row>
    <row r="23" spans="1:18">
      <c r="A23" s="37"/>
      <c r="B23" s="1737" t="s">
        <v>1389</v>
      </c>
      <c r="C23" s="1737" t="s">
        <v>1388</v>
      </c>
      <c r="D23" s="1737"/>
      <c r="E23" s="1737"/>
      <c r="F23" s="1737" t="s">
        <v>1388</v>
      </c>
      <c r="G23" s="1737"/>
      <c r="H23" s="1737"/>
      <c r="I23" s="37"/>
      <c r="J23" s="37"/>
      <c r="K23" s="37"/>
      <c r="L23" s="37"/>
      <c r="M23" s="37"/>
      <c r="N23" s="328"/>
    </row>
    <row r="24" spans="1:18">
      <c r="A24" s="37"/>
      <c r="B24" s="1737"/>
      <c r="C24" s="488">
        <v>1</v>
      </c>
      <c r="D24" s="488">
        <v>2</v>
      </c>
      <c r="E24" s="488">
        <v>3</v>
      </c>
      <c r="F24" s="488">
        <v>1</v>
      </c>
      <c r="G24" s="488">
        <v>2</v>
      </c>
      <c r="H24" s="488">
        <v>3</v>
      </c>
      <c r="I24" s="37"/>
      <c r="J24" s="37"/>
      <c r="K24" s="37"/>
      <c r="L24" s="37"/>
      <c r="M24" s="37"/>
      <c r="N24" s="328"/>
    </row>
    <row r="25" spans="1:18">
      <c r="A25" s="37"/>
      <c r="B25" s="488" t="s">
        <v>1231</v>
      </c>
      <c r="C25" s="962">
        <f t="shared" ref="C25:E27" si="0">C12</f>
        <v>2700</v>
      </c>
      <c r="D25" s="962">
        <f t="shared" si="0"/>
        <v>2700</v>
      </c>
      <c r="E25" s="962">
        <f t="shared" si="0"/>
        <v>2025</v>
      </c>
      <c r="F25" s="961">
        <f t="shared" ref="F25:H27" si="1">C25/$C25</f>
        <v>1</v>
      </c>
      <c r="G25" s="961">
        <f t="shared" si="1"/>
        <v>1</v>
      </c>
      <c r="H25" s="961">
        <f t="shared" si="1"/>
        <v>0.75</v>
      </c>
      <c r="I25" s="37"/>
      <c r="J25" s="37"/>
      <c r="K25" s="37"/>
      <c r="L25" s="37"/>
      <c r="M25" s="37"/>
      <c r="N25" s="328"/>
    </row>
    <row r="26" spans="1:18">
      <c r="A26" s="37"/>
      <c r="B26" s="488" t="s">
        <v>1230</v>
      </c>
      <c r="C26" s="962">
        <f t="shared" si="0"/>
        <v>1350</v>
      </c>
      <c r="D26" s="962">
        <f t="shared" si="0"/>
        <v>2025</v>
      </c>
      <c r="E26" s="962">
        <f t="shared" si="0"/>
        <v>2700</v>
      </c>
      <c r="F26" s="961">
        <f t="shared" si="1"/>
        <v>1</v>
      </c>
      <c r="G26" s="961">
        <f t="shared" si="1"/>
        <v>1.5</v>
      </c>
      <c r="H26" s="961">
        <f t="shared" si="1"/>
        <v>2</v>
      </c>
      <c r="I26" s="37"/>
      <c r="J26" s="37"/>
      <c r="K26" s="37"/>
      <c r="L26" s="37"/>
      <c r="M26" s="37"/>
      <c r="N26" s="328"/>
    </row>
    <row r="27" spans="1:18">
      <c r="A27" s="37"/>
      <c r="B27" s="488" t="s">
        <v>1229</v>
      </c>
      <c r="C27" s="962">
        <f t="shared" si="0"/>
        <v>1350</v>
      </c>
      <c r="D27" s="488">
        <f t="shared" si="0"/>
        <v>675</v>
      </c>
      <c r="E27" s="962">
        <f t="shared" si="0"/>
        <v>4050</v>
      </c>
      <c r="F27" s="961">
        <f t="shared" si="1"/>
        <v>1</v>
      </c>
      <c r="G27" s="961">
        <f t="shared" si="1"/>
        <v>0.5</v>
      </c>
      <c r="H27" s="961">
        <f t="shared" si="1"/>
        <v>3</v>
      </c>
      <c r="I27" s="37"/>
      <c r="J27" s="37"/>
      <c r="K27" s="37"/>
      <c r="L27" s="37"/>
      <c r="M27" s="37"/>
      <c r="N27" s="328"/>
    </row>
    <row r="28" spans="1:18">
      <c r="A28" s="37"/>
      <c r="B28" s="629"/>
      <c r="C28" s="352"/>
      <c r="D28" s="352"/>
      <c r="E28" s="37"/>
      <c r="F28" s="37"/>
      <c r="G28" s="37"/>
      <c r="H28" s="37"/>
      <c r="I28" s="37"/>
      <c r="J28" s="37"/>
      <c r="K28" s="37"/>
      <c r="L28" s="37"/>
      <c r="M28" s="37"/>
      <c r="N28" s="328"/>
    </row>
    <row r="29" spans="1:18">
      <c r="A29" s="37"/>
      <c r="B29" s="352" t="s">
        <v>1395</v>
      </c>
      <c r="C29" s="37"/>
      <c r="D29" s="37"/>
      <c r="E29" s="37"/>
      <c r="F29" s="37"/>
      <c r="G29" s="37"/>
      <c r="H29" s="37"/>
      <c r="I29" s="37"/>
      <c r="J29" s="37"/>
      <c r="K29" s="37"/>
      <c r="L29" s="37"/>
      <c r="M29" s="37"/>
      <c r="N29" s="328"/>
    </row>
    <row r="30" spans="1:18" s="275" customFormat="1">
      <c r="M30" s="960"/>
      <c r="N30" s="960"/>
    </row>
    <row r="31" spans="1:18">
      <c r="A31" s="22"/>
      <c r="B31" s="22"/>
      <c r="C31" s="22"/>
      <c r="D31" s="22"/>
      <c r="E31" s="22"/>
      <c r="F31" s="22"/>
      <c r="G31" s="22"/>
      <c r="H31" s="22"/>
      <c r="I31" s="22"/>
      <c r="J31" s="22"/>
      <c r="K31" s="22"/>
      <c r="L31" s="22"/>
      <c r="M31" s="328"/>
      <c r="N31" s="328"/>
    </row>
    <row r="32" spans="1:18">
      <c r="A32" s="22" t="s">
        <v>1394</v>
      </c>
      <c r="B32" s="22"/>
      <c r="C32" s="22"/>
      <c r="D32" s="22"/>
      <c r="E32" s="22"/>
      <c r="F32" s="22"/>
      <c r="G32" s="22"/>
      <c r="H32" s="22"/>
      <c r="I32" s="22"/>
      <c r="J32" s="22"/>
      <c r="K32" s="22"/>
      <c r="L32" s="22"/>
      <c r="M32" s="328"/>
      <c r="N32" s="328"/>
    </row>
    <row r="33" spans="1:14">
      <c r="A33" s="22"/>
      <c r="B33" s="22"/>
      <c r="C33" s="22"/>
      <c r="D33" s="22"/>
      <c r="E33" s="22"/>
      <c r="F33" s="22"/>
      <c r="G33" s="22"/>
      <c r="H33" s="22"/>
      <c r="I33" s="22"/>
      <c r="J33" s="22"/>
      <c r="K33" s="22"/>
      <c r="L33" s="22"/>
      <c r="M33" s="328"/>
      <c r="N33" s="328"/>
    </row>
    <row r="34" spans="1:14">
      <c r="A34" s="22"/>
      <c r="B34" s="1751" t="s">
        <v>1393</v>
      </c>
      <c r="C34" s="1751"/>
      <c r="D34" s="1751"/>
      <c r="E34" s="1751"/>
      <c r="F34" s="1751"/>
      <c r="G34" s="22"/>
      <c r="H34" s="22"/>
      <c r="I34" s="22"/>
      <c r="J34" s="22"/>
      <c r="K34" s="22"/>
      <c r="L34" s="22"/>
      <c r="M34" s="328"/>
      <c r="N34" s="328"/>
    </row>
    <row r="35" spans="1:14">
      <c r="A35" s="22"/>
      <c r="B35" s="1751" t="s">
        <v>1389</v>
      </c>
      <c r="C35" s="1751" t="s">
        <v>1388</v>
      </c>
      <c r="D35" s="1751"/>
      <c r="E35" s="1751"/>
      <c r="F35" s="625"/>
      <c r="G35" s="22"/>
      <c r="H35" s="22"/>
      <c r="I35" s="22"/>
      <c r="J35" s="22"/>
      <c r="K35" s="22"/>
      <c r="L35" s="22"/>
      <c r="M35" s="328"/>
      <c r="N35" s="328"/>
    </row>
    <row r="36" spans="1:14">
      <c r="A36" s="22"/>
      <c r="B36" s="1751"/>
      <c r="C36" s="334">
        <v>1</v>
      </c>
      <c r="D36" s="334">
        <v>2</v>
      </c>
      <c r="E36" s="334">
        <v>3</v>
      </c>
      <c r="F36" s="528" t="s">
        <v>98</v>
      </c>
      <c r="G36" s="22"/>
      <c r="H36" s="22"/>
      <c r="I36" s="22"/>
      <c r="J36" s="22"/>
      <c r="K36" s="22"/>
      <c r="L36" s="22"/>
      <c r="M36" s="328"/>
      <c r="N36" s="328"/>
    </row>
    <row r="37" spans="1:14">
      <c r="A37" s="22"/>
      <c r="B37" s="628" t="s">
        <v>1231</v>
      </c>
      <c r="C37" s="917">
        <v>240</v>
      </c>
      <c r="D37" s="917">
        <v>200</v>
      </c>
      <c r="E37" s="917">
        <v>450</v>
      </c>
      <c r="F37" s="959">
        <v>282.73</v>
      </c>
      <c r="G37" s="22"/>
      <c r="H37" s="22"/>
      <c r="I37" s="22"/>
      <c r="J37" s="22"/>
      <c r="K37" s="22"/>
      <c r="L37" s="22"/>
      <c r="M37" s="328"/>
      <c r="N37" s="328"/>
    </row>
    <row r="38" spans="1:14">
      <c r="A38" s="22"/>
      <c r="B38" s="628" t="s">
        <v>1230</v>
      </c>
      <c r="C38" s="917">
        <v>270</v>
      </c>
      <c r="D38" s="917">
        <v>250</v>
      </c>
      <c r="E38" s="917">
        <v>450</v>
      </c>
      <c r="F38" s="959">
        <v>343.33</v>
      </c>
      <c r="G38" s="22"/>
      <c r="H38" s="22"/>
      <c r="I38" s="22"/>
      <c r="J38" s="22"/>
      <c r="K38" s="22"/>
      <c r="L38" s="22"/>
      <c r="M38" s="328"/>
      <c r="N38" s="328"/>
    </row>
    <row r="39" spans="1:14">
      <c r="A39" s="22"/>
      <c r="B39" s="628" t="s">
        <v>1229</v>
      </c>
      <c r="C39" s="917">
        <v>300</v>
      </c>
      <c r="D39" s="917">
        <v>260</v>
      </c>
      <c r="E39" s="917">
        <v>500</v>
      </c>
      <c r="F39" s="959">
        <v>428.89</v>
      </c>
      <c r="G39" s="22"/>
      <c r="H39" s="22"/>
      <c r="I39" s="22"/>
      <c r="J39" s="22"/>
      <c r="K39" s="22"/>
      <c r="L39" s="22"/>
      <c r="M39" s="328"/>
      <c r="N39" s="328"/>
    </row>
    <row r="40" spans="1:14">
      <c r="A40" s="22"/>
      <c r="B40" s="530" t="s">
        <v>98</v>
      </c>
      <c r="C40" s="959">
        <v>262.5</v>
      </c>
      <c r="D40" s="959">
        <v>226.25</v>
      </c>
      <c r="E40" s="959">
        <v>473.08</v>
      </c>
      <c r="F40" s="958">
        <v>346.9</v>
      </c>
      <c r="G40" s="22"/>
      <c r="H40" s="22"/>
      <c r="I40" s="22"/>
      <c r="J40" s="22"/>
      <c r="K40" s="22"/>
      <c r="L40" s="22"/>
      <c r="M40" s="328"/>
      <c r="N40" s="328"/>
    </row>
    <row r="41" spans="1:14">
      <c r="A41" s="22"/>
      <c r="B41" s="524"/>
      <c r="C41" s="524"/>
      <c r="D41" s="524"/>
      <c r="E41" s="524"/>
      <c r="F41" s="957"/>
      <c r="G41" s="22"/>
      <c r="H41" s="22"/>
      <c r="I41" s="22"/>
      <c r="J41" s="22"/>
      <c r="K41" s="22"/>
      <c r="L41" s="22"/>
      <c r="M41" s="328"/>
      <c r="N41" s="328"/>
    </row>
    <row r="42" spans="1:14">
      <c r="A42" s="2"/>
      <c r="B42" s="2"/>
      <c r="C42" s="2"/>
      <c r="D42" s="2"/>
      <c r="E42" s="2"/>
      <c r="F42" s="2"/>
      <c r="G42" s="2"/>
      <c r="H42" s="2"/>
      <c r="I42" s="2"/>
      <c r="J42" s="2"/>
      <c r="K42" s="2"/>
      <c r="L42" s="2"/>
    </row>
    <row r="43" spans="1:14">
      <c r="A43" s="577" t="s">
        <v>9</v>
      </c>
      <c r="B43" s="1724" t="s">
        <v>1392</v>
      </c>
      <c r="C43" s="1724"/>
      <c r="D43" s="1724"/>
      <c r="E43" s="1724"/>
      <c r="F43" s="1724"/>
      <c r="G43" s="1724"/>
      <c r="H43" s="1724"/>
      <c r="I43" s="1724"/>
      <c r="J43" s="1724"/>
      <c r="K43" s="1724"/>
      <c r="L43" s="22"/>
    </row>
    <row r="44" spans="1:14">
      <c r="A44" s="577"/>
      <c r="B44" s="1724"/>
      <c r="C44" s="1724"/>
      <c r="D44" s="1724"/>
      <c r="E44" s="1724"/>
      <c r="F44" s="1724"/>
      <c r="G44" s="1724"/>
      <c r="H44" s="1724"/>
      <c r="I44" s="1724"/>
      <c r="J44" s="1724"/>
      <c r="K44" s="1724"/>
      <c r="L44" s="22"/>
    </row>
    <row r="45" spans="1:14">
      <c r="A45" s="2"/>
      <c r="B45" s="2"/>
      <c r="C45" s="2"/>
      <c r="D45" s="2"/>
      <c r="E45" s="2"/>
      <c r="F45" s="2"/>
      <c r="G45" s="22"/>
      <c r="H45" s="22"/>
      <c r="I45" s="22"/>
      <c r="J45" s="22"/>
      <c r="K45" s="22"/>
      <c r="L45" s="22"/>
    </row>
    <row r="46" spans="1:14">
      <c r="A46" s="37"/>
      <c r="B46" s="37"/>
      <c r="C46" s="37"/>
      <c r="D46" s="37"/>
      <c r="E46" s="37"/>
      <c r="F46" s="37"/>
      <c r="G46" s="37"/>
      <c r="H46" s="37"/>
      <c r="I46" s="37"/>
      <c r="J46" s="37"/>
      <c r="K46" s="37"/>
      <c r="L46" s="37"/>
    </row>
    <row r="47" spans="1:14">
      <c r="A47" s="37" t="s">
        <v>650</v>
      </c>
      <c r="B47" s="37"/>
      <c r="C47" s="37"/>
      <c r="D47" s="37"/>
      <c r="E47" s="37"/>
      <c r="F47" s="37"/>
      <c r="G47" s="37"/>
      <c r="H47" s="37"/>
      <c r="I47" s="37"/>
      <c r="J47" s="37"/>
      <c r="K47" s="37"/>
      <c r="L47" s="37"/>
    </row>
    <row r="48" spans="1:14">
      <c r="A48" s="37"/>
      <c r="B48" s="37"/>
      <c r="C48" s="37"/>
      <c r="D48" s="37"/>
      <c r="E48" s="1857" t="s">
        <v>1391</v>
      </c>
      <c r="F48" s="1857"/>
      <c r="G48" s="1857"/>
      <c r="H48" s="1857"/>
      <c r="I48" s="37"/>
      <c r="J48" s="37"/>
      <c r="K48" s="37"/>
      <c r="L48" s="37"/>
    </row>
    <row r="49" spans="1:13" ht="31.2">
      <c r="A49" s="37"/>
      <c r="B49" s="576" t="s">
        <v>1389</v>
      </c>
      <c r="C49" s="576" t="s">
        <v>1388</v>
      </c>
      <c r="D49" s="576" t="s">
        <v>1390</v>
      </c>
      <c r="E49" s="576" t="s">
        <v>1389</v>
      </c>
      <c r="F49" s="576" t="s">
        <v>1388</v>
      </c>
      <c r="G49" s="565" t="s">
        <v>1387</v>
      </c>
      <c r="H49" s="565" t="s">
        <v>1386</v>
      </c>
      <c r="I49" s="37"/>
      <c r="J49" s="37"/>
      <c r="K49" s="37"/>
      <c r="L49" s="37"/>
    </row>
    <row r="50" spans="1:13">
      <c r="B50" s="327" t="s">
        <v>1231</v>
      </c>
      <c r="C50" s="327">
        <v>1</v>
      </c>
      <c r="D50" s="634">
        <f>C12</f>
        <v>2700</v>
      </c>
      <c r="E50" s="925">
        <f>F37/$F$40</f>
        <v>0.81501873738829644</v>
      </c>
      <c r="F50" s="925">
        <f>C40/$F$40</f>
        <v>0.75670221965984441</v>
      </c>
      <c r="G50" s="926">
        <f t="shared" ref="G50:G58" si="2">E50*F50*$F$40</f>
        <v>213.94241856442781</v>
      </c>
      <c r="H50" s="926">
        <f t="shared" ref="H50:H58" si="3">G50*$F$40/$G$59</f>
        <v>209.92874393503615</v>
      </c>
      <c r="M50" s="37"/>
    </row>
    <row r="51" spans="1:13">
      <c r="B51" s="327" t="str">
        <f>B50</f>
        <v>A</v>
      </c>
      <c r="C51" s="327">
        <v>2</v>
      </c>
      <c r="D51" s="634">
        <f>D12</f>
        <v>2700</v>
      </c>
      <c r="E51" s="925">
        <f>E50</f>
        <v>0.81501873738829644</v>
      </c>
      <c r="F51" s="925">
        <f>D40/$F$40</f>
        <v>0.65220524646872302</v>
      </c>
      <c r="G51" s="926">
        <f t="shared" si="2"/>
        <v>184.39798933410208</v>
      </c>
      <c r="H51" s="926">
        <f t="shared" si="3"/>
        <v>180.93858405829309</v>
      </c>
      <c r="M51" s="37"/>
    </row>
    <row r="52" spans="1:13">
      <c r="B52" s="327" t="str">
        <f>B51</f>
        <v>A</v>
      </c>
      <c r="C52" s="327">
        <v>3</v>
      </c>
      <c r="D52" s="634">
        <f>E12</f>
        <v>2025</v>
      </c>
      <c r="E52" s="925">
        <f>E51</f>
        <v>0.81501873738829644</v>
      </c>
      <c r="F52" s="925">
        <f>E40/$F$40</f>
        <v>1.3637359469587778</v>
      </c>
      <c r="G52" s="926">
        <f t="shared" si="2"/>
        <v>385.56906428365522</v>
      </c>
      <c r="H52" s="926">
        <f t="shared" si="3"/>
        <v>378.33558164109292</v>
      </c>
      <c r="M52" s="37"/>
    </row>
    <row r="53" spans="1:13">
      <c r="B53" s="327" t="s">
        <v>1230</v>
      </c>
      <c r="C53" s="327">
        <f t="shared" ref="C53:C58" si="4">C50</f>
        <v>1</v>
      </c>
      <c r="D53" s="634">
        <f>C13</f>
        <v>1350</v>
      </c>
      <c r="E53" s="925">
        <f>F38/$F$40</f>
        <v>0.98970884981262619</v>
      </c>
      <c r="F53" s="925">
        <f t="shared" ref="F53:F58" si="5">F50</f>
        <v>0.75670221965984441</v>
      </c>
      <c r="G53" s="926">
        <f t="shared" si="2"/>
        <v>259.79857307581437</v>
      </c>
      <c r="H53" s="926">
        <f t="shared" si="3"/>
        <v>254.92461236945482</v>
      </c>
    </row>
    <row r="54" spans="1:13">
      <c r="B54" s="327" t="s">
        <v>1230</v>
      </c>
      <c r="C54" s="327">
        <f t="shared" si="4"/>
        <v>2</v>
      </c>
      <c r="D54" s="634">
        <f>D13</f>
        <v>2025</v>
      </c>
      <c r="E54" s="925">
        <f>E53</f>
        <v>0.98970884981262619</v>
      </c>
      <c r="F54" s="925">
        <f t="shared" si="5"/>
        <v>0.65220524646872302</v>
      </c>
      <c r="G54" s="926">
        <f t="shared" si="2"/>
        <v>223.92162727010668</v>
      </c>
      <c r="H54" s="926">
        <f t="shared" si="3"/>
        <v>219.72073732795869</v>
      </c>
    </row>
    <row r="55" spans="1:13">
      <c r="B55" s="327" t="s">
        <v>1230</v>
      </c>
      <c r="C55" s="327">
        <f t="shared" si="4"/>
        <v>3</v>
      </c>
      <c r="D55" s="634">
        <f>E13</f>
        <v>2700</v>
      </c>
      <c r="E55" s="925">
        <f>E54</f>
        <v>0.98970884981262619</v>
      </c>
      <c r="F55" s="925">
        <f t="shared" si="5"/>
        <v>1.3637359469587778</v>
      </c>
      <c r="G55" s="926">
        <f t="shared" si="2"/>
        <v>468.21146266935716</v>
      </c>
      <c r="H55" s="926">
        <f t="shared" si="3"/>
        <v>459.42756426568263</v>
      </c>
    </row>
    <row r="56" spans="1:13">
      <c r="B56" s="327" t="s">
        <v>1229</v>
      </c>
      <c r="C56" s="327">
        <f t="shared" si="4"/>
        <v>1</v>
      </c>
      <c r="D56" s="634">
        <f>C14</f>
        <v>1350</v>
      </c>
      <c r="E56" s="925">
        <f>F39/$F$40</f>
        <v>1.2363505332948976</v>
      </c>
      <c r="F56" s="925">
        <f t="shared" si="5"/>
        <v>0.75670221965984441</v>
      </c>
      <c r="G56" s="926">
        <f t="shared" si="2"/>
        <v>324.54201498991063</v>
      </c>
      <c r="H56" s="926">
        <f t="shared" si="3"/>
        <v>318.45343255507959</v>
      </c>
    </row>
    <row r="57" spans="1:13">
      <c r="B57" s="327" t="s">
        <v>1229</v>
      </c>
      <c r="C57" s="327">
        <f t="shared" si="4"/>
        <v>2</v>
      </c>
      <c r="D57" s="634">
        <f>D14</f>
        <v>675</v>
      </c>
      <c r="E57" s="925">
        <f>E56</f>
        <v>1.2363505332948976</v>
      </c>
      <c r="F57" s="925">
        <f t="shared" si="5"/>
        <v>0.65220524646872302</v>
      </c>
      <c r="G57" s="926">
        <f t="shared" si="2"/>
        <v>279.7243081579706</v>
      </c>
      <c r="H57" s="926">
        <f t="shared" si="3"/>
        <v>274.47652996414001</v>
      </c>
    </row>
    <row r="58" spans="1:13">
      <c r="B58" s="576" t="s">
        <v>1229</v>
      </c>
      <c r="C58" s="576">
        <f t="shared" si="4"/>
        <v>3</v>
      </c>
      <c r="D58" s="635">
        <f>E14</f>
        <v>4050</v>
      </c>
      <c r="E58" s="921">
        <f>E57</f>
        <v>1.2363505332948976</v>
      </c>
      <c r="F58" s="921">
        <f t="shared" si="5"/>
        <v>1.3637359469587778</v>
      </c>
      <c r="G58" s="922">
        <f t="shared" si="2"/>
        <v>584.89271029115014</v>
      </c>
      <c r="H58" s="922">
        <f t="shared" si="3"/>
        <v>573.91980904059824</v>
      </c>
    </row>
    <row r="59" spans="1:13">
      <c r="B59" s="37"/>
      <c r="C59" s="37"/>
      <c r="D59" s="37"/>
      <c r="E59" s="327"/>
      <c r="F59" s="327"/>
      <c r="G59" s="926">
        <f>SUMPRODUCT($D$50:$D$58,G50:G58)/SUM($D$50:$D$58)</f>
        <v>353.53245872307428</v>
      </c>
      <c r="H59" s="926">
        <f>SUMPRODUCT($D$50:$D$58,H50:H58)/SUM($D$50:$D$58)</f>
        <v>346.9</v>
      </c>
    </row>
    <row r="61" spans="1:13">
      <c r="A61" s="22"/>
      <c r="B61" s="22"/>
      <c r="C61" s="22"/>
      <c r="D61" s="22"/>
      <c r="E61" s="22"/>
      <c r="F61" s="22"/>
      <c r="G61" s="22"/>
      <c r="H61" s="22"/>
      <c r="I61" s="22"/>
      <c r="J61" s="22"/>
      <c r="K61" s="22"/>
      <c r="L61" s="22"/>
    </row>
    <row r="62" spans="1:13" ht="15.6" customHeight="1">
      <c r="A62" s="22" t="s">
        <v>1385</v>
      </c>
      <c r="B62" s="22"/>
      <c r="C62" s="22"/>
      <c r="D62" s="22"/>
      <c r="E62" s="22"/>
      <c r="F62" s="22"/>
      <c r="G62" s="22"/>
      <c r="H62" s="22"/>
      <c r="I62" s="22"/>
      <c r="J62" s="22"/>
      <c r="K62" s="22"/>
      <c r="L62" s="22"/>
    </row>
    <row r="63" spans="1:13">
      <c r="A63" s="22"/>
      <c r="B63" s="22"/>
      <c r="C63" s="22"/>
      <c r="D63" s="22"/>
      <c r="E63" s="22"/>
      <c r="F63" s="22"/>
      <c r="G63" s="22"/>
      <c r="H63" s="22"/>
      <c r="I63" s="22"/>
      <c r="J63" s="22"/>
      <c r="K63" s="22"/>
      <c r="L63" s="22"/>
    </row>
    <row r="64" spans="1:13">
      <c r="A64" s="2"/>
      <c r="B64" s="2"/>
      <c r="C64" s="2"/>
      <c r="D64" s="2"/>
      <c r="E64" s="2"/>
      <c r="F64" s="2"/>
      <c r="G64" s="2"/>
      <c r="H64" s="2"/>
      <c r="I64" s="2"/>
      <c r="J64" s="2"/>
      <c r="K64" s="2"/>
      <c r="L64" s="2"/>
    </row>
    <row r="65" spans="1:14">
      <c r="A65" s="577" t="s">
        <v>7</v>
      </c>
      <c r="B65" s="22" t="s">
        <v>1384</v>
      </c>
      <c r="C65" s="22"/>
      <c r="D65" s="22"/>
      <c r="E65" s="22"/>
      <c r="F65" s="22"/>
      <c r="G65" s="22"/>
      <c r="H65" s="22"/>
      <c r="I65" s="22"/>
      <c r="J65" s="22"/>
      <c r="K65" s="22"/>
      <c r="L65" s="22"/>
    </row>
    <row r="66" spans="1:14">
      <c r="A66" s="2"/>
      <c r="B66" s="2"/>
      <c r="C66" s="2"/>
      <c r="D66" s="2"/>
      <c r="E66" s="2"/>
      <c r="F66" s="2"/>
      <c r="G66" s="22"/>
      <c r="H66" s="22"/>
      <c r="I66" s="22"/>
      <c r="J66" s="22"/>
      <c r="K66" s="22"/>
      <c r="L66" s="22"/>
    </row>
    <row r="67" spans="1:14">
      <c r="A67" s="37"/>
      <c r="B67" s="37"/>
      <c r="C67" s="37"/>
      <c r="D67" s="37"/>
      <c r="E67" s="37"/>
      <c r="F67" s="37"/>
      <c r="G67" s="37"/>
      <c r="H67" s="37"/>
      <c r="I67" s="37"/>
      <c r="J67" s="37"/>
      <c r="K67" s="37"/>
      <c r="L67" s="37"/>
    </row>
    <row r="68" spans="1:14">
      <c r="A68" s="37" t="s">
        <v>650</v>
      </c>
      <c r="B68" s="37"/>
      <c r="C68" s="37"/>
      <c r="D68" s="37"/>
      <c r="E68" s="37"/>
      <c r="F68" s="37"/>
      <c r="G68" s="37"/>
      <c r="H68" s="37"/>
      <c r="I68" s="37"/>
      <c r="J68" s="37"/>
      <c r="K68" s="37"/>
      <c r="L68" s="37"/>
    </row>
    <row r="69" spans="1:14">
      <c r="A69" s="37"/>
      <c r="C69" s="37"/>
      <c r="D69" s="37"/>
      <c r="E69" s="327" t="s">
        <v>1383</v>
      </c>
      <c r="F69" s="327" t="s">
        <v>1382</v>
      </c>
      <c r="G69" s="327" t="s">
        <v>1381</v>
      </c>
      <c r="H69" s="37"/>
      <c r="I69" s="37"/>
      <c r="J69" s="37"/>
      <c r="K69" s="37"/>
      <c r="L69" s="37"/>
    </row>
    <row r="70" spans="1:14">
      <c r="A70" s="37"/>
      <c r="B70" s="37" t="s">
        <v>1380</v>
      </c>
      <c r="C70" s="37"/>
      <c r="D70" s="37"/>
      <c r="E70" s="956">
        <f>C40/$F$40</f>
        <v>0.75670221965984441</v>
      </c>
      <c r="F70" s="956">
        <f>D40/$F$40</f>
        <v>0.65220524646872302</v>
      </c>
      <c r="G70" s="956">
        <f>E40/$F$40</f>
        <v>1.3637359469587778</v>
      </c>
      <c r="H70" s="37"/>
      <c r="I70" s="37"/>
      <c r="J70" s="37"/>
      <c r="K70" s="37"/>
      <c r="L70" s="37"/>
    </row>
    <row r="72" spans="1:14">
      <c r="B72" s="37" t="s">
        <v>1379</v>
      </c>
    </row>
    <row r="73" spans="1:14">
      <c r="B73" s="277" t="s">
        <v>1231</v>
      </c>
      <c r="C73" s="474">
        <f>SUMPRODUCT(C12:E12,C37:E37)</f>
        <v>2099250</v>
      </c>
    </row>
    <row r="74" spans="1:14">
      <c r="B74" s="277" t="s">
        <v>1230</v>
      </c>
      <c r="C74" s="474">
        <f>SUMPRODUCT(C13:E13,C38:E38)</f>
        <v>2085750</v>
      </c>
    </row>
    <row r="75" spans="1:14">
      <c r="B75" s="277" t="s">
        <v>1229</v>
      </c>
      <c r="C75" s="474">
        <f>SUMPRODUCT(C14:E14,C39:E39)</f>
        <v>2605500</v>
      </c>
    </row>
    <row r="77" spans="1:14">
      <c r="B77" s="1" t="s">
        <v>1378</v>
      </c>
    </row>
    <row r="78" spans="1:14">
      <c r="B78" s="277" t="s">
        <v>1231</v>
      </c>
      <c r="C78" s="643">
        <f>C73/(SUMPRODUCT($E$70:$G$70,C12:E12)*$F$40)</f>
        <v>0.92168903219687992</v>
      </c>
      <c r="M78" s="37"/>
      <c r="N78" s="37"/>
    </row>
    <row r="79" spans="1:14">
      <c r="B79" s="277" t="s">
        <v>1230</v>
      </c>
      <c r="C79" s="643">
        <f>C74/(SUMPRODUCT($E$70:$G$70,C13:E13)*$F$40)</f>
        <v>0.9980394500124351</v>
      </c>
      <c r="M79" s="37"/>
      <c r="N79" s="37"/>
    </row>
    <row r="80" spans="1:14">
      <c r="B80" s="277" t="s">
        <v>1229</v>
      </c>
      <c r="C80" s="643">
        <f>C75/(SUMPRODUCT($E$70:$G$70,C14:E14)*$F$40)</f>
        <v>1.0752897850256147</v>
      </c>
      <c r="M80" s="37"/>
      <c r="N80" s="37"/>
    </row>
    <row r="82" spans="1:13">
      <c r="A82" s="577" t="s">
        <v>4</v>
      </c>
      <c r="B82" s="1724" t="s">
        <v>1377</v>
      </c>
      <c r="C82" s="1724"/>
      <c r="D82" s="1724"/>
      <c r="E82" s="1724"/>
      <c r="F82" s="1724"/>
      <c r="G82" s="1724"/>
      <c r="H82" s="1724"/>
      <c r="I82" s="1724"/>
      <c r="J82" s="1724"/>
      <c r="K82" s="1724"/>
      <c r="L82" s="22"/>
    </row>
    <row r="83" spans="1:13">
      <c r="A83" s="577"/>
      <c r="B83" s="1724"/>
      <c r="C83" s="1724"/>
      <c r="D83" s="1724"/>
      <c r="E83" s="1724"/>
      <c r="F83" s="1724"/>
      <c r="G83" s="1724"/>
      <c r="H83" s="1724"/>
      <c r="I83" s="1724"/>
      <c r="J83" s="1724"/>
      <c r="K83" s="1724"/>
      <c r="L83" s="22"/>
    </row>
    <row r="84" spans="1:13">
      <c r="A84" s="2"/>
      <c r="B84" s="2"/>
      <c r="C84" s="2"/>
      <c r="D84" s="2"/>
      <c r="E84" s="2"/>
      <c r="F84" s="2"/>
      <c r="G84" s="22"/>
      <c r="H84" s="22"/>
      <c r="I84" s="22"/>
      <c r="J84" s="22"/>
      <c r="K84" s="22"/>
      <c r="L84" s="22"/>
    </row>
    <row r="85" spans="1:13">
      <c r="A85" s="37"/>
      <c r="B85" s="37"/>
      <c r="C85" s="37"/>
      <c r="D85" s="37"/>
      <c r="E85" s="37"/>
      <c r="F85" s="37"/>
      <c r="G85" s="37"/>
      <c r="H85" s="37"/>
      <c r="I85" s="37"/>
      <c r="J85" s="37"/>
      <c r="K85" s="37"/>
      <c r="L85" s="37"/>
    </row>
    <row r="86" spans="1:13">
      <c r="A86" s="37" t="s">
        <v>650</v>
      </c>
      <c r="B86" s="37"/>
      <c r="C86" s="37"/>
      <c r="D86" s="37"/>
      <c r="E86" s="37"/>
      <c r="F86" s="37"/>
      <c r="G86" s="37"/>
      <c r="H86" s="37"/>
      <c r="I86" s="37"/>
      <c r="J86" s="37"/>
      <c r="K86" s="37"/>
      <c r="L86" s="37"/>
    </row>
    <row r="87" spans="1:13">
      <c r="A87" s="37"/>
      <c r="B87" s="37" t="s">
        <v>1376</v>
      </c>
      <c r="C87" s="37"/>
      <c r="D87" s="37"/>
      <c r="E87" s="37"/>
      <c r="F87" s="37"/>
      <c r="G87" s="37"/>
      <c r="H87" s="37"/>
      <c r="I87" s="37"/>
      <c r="J87" s="37"/>
      <c r="K87" s="37"/>
      <c r="L87" s="37"/>
    </row>
    <row r="88" spans="1:13">
      <c r="A88" s="37"/>
      <c r="B88" s="37"/>
      <c r="C88" s="37"/>
      <c r="D88" s="37"/>
      <c r="E88" s="37"/>
      <c r="F88" s="37"/>
      <c r="G88" s="37"/>
      <c r="H88" s="37"/>
      <c r="I88" s="37"/>
      <c r="J88" s="37"/>
      <c r="K88" s="37"/>
      <c r="L88" s="37"/>
    </row>
    <row r="91" spans="1:13">
      <c r="M91" s="37"/>
    </row>
    <row r="92" spans="1:13">
      <c r="M92" s="37"/>
    </row>
  </sheetData>
  <mergeCells count="15">
    <mergeCell ref="B43:K44"/>
    <mergeCell ref="E48:H48"/>
    <mergeCell ref="B82:K83"/>
    <mergeCell ref="B23:B24"/>
    <mergeCell ref="C23:E23"/>
    <mergeCell ref="F23:H23"/>
    <mergeCell ref="B34:F34"/>
    <mergeCell ref="B35:B36"/>
    <mergeCell ref="C35:E35"/>
    <mergeCell ref="A3:K4"/>
    <mergeCell ref="B9:E9"/>
    <mergeCell ref="B10:B11"/>
    <mergeCell ref="C10:E10"/>
    <mergeCell ref="B22:E22"/>
    <mergeCell ref="F22:H22"/>
  </mergeCells>
  <pageMargins left="0.7" right="0.7" top="0.75" bottom="0.75" header="0.3" footer="0.3"/>
  <pageSetup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728C-EF3C-4B24-A55E-8B30CA3F420B}">
  <dimension ref="A1:P69"/>
  <sheetViews>
    <sheetView zoomScaleNormal="100" workbookViewId="0"/>
  </sheetViews>
  <sheetFormatPr defaultColWidth="8.88671875" defaultRowHeight="15.6"/>
  <cols>
    <col min="1" max="1" width="8.88671875" style="1" customWidth="1"/>
    <col min="2" max="2" width="10.6640625" style="1" customWidth="1"/>
    <col min="3" max="3" width="2.6640625" style="1" customWidth="1"/>
    <col min="4" max="4" width="10.6640625" style="1" customWidth="1"/>
    <col min="5" max="6" width="12.6640625" style="1" customWidth="1"/>
    <col min="7" max="7" width="8.88671875" style="1"/>
    <col min="8" max="8" width="8.88671875" style="1" customWidth="1"/>
    <col min="9" max="16384" width="8.88671875" style="1"/>
  </cols>
  <sheetData>
    <row r="1" spans="1:16" ht="17.399999999999999">
      <c r="A1" s="23" t="s">
        <v>1430</v>
      </c>
      <c r="B1" s="22"/>
      <c r="C1" s="22" t="s">
        <v>668</v>
      </c>
      <c r="D1" s="22"/>
      <c r="E1" s="22"/>
      <c r="F1" s="22"/>
      <c r="G1" s="22"/>
      <c r="H1" s="22"/>
      <c r="I1" s="22"/>
      <c r="J1" s="22"/>
      <c r="K1" s="22"/>
      <c r="L1" s="2"/>
    </row>
    <row r="2" spans="1:16">
      <c r="A2" s="22"/>
      <c r="B2" s="22"/>
      <c r="C2" s="22"/>
      <c r="D2" s="22"/>
      <c r="E2" s="22"/>
      <c r="F2" s="22"/>
      <c r="G2" s="22"/>
      <c r="H2" s="22"/>
      <c r="I2" s="22"/>
      <c r="J2" s="22"/>
      <c r="K2" s="22"/>
      <c r="L2" s="2"/>
    </row>
    <row r="3" spans="1:16">
      <c r="A3" s="22" t="s">
        <v>1429</v>
      </c>
      <c r="B3" s="22"/>
      <c r="C3" s="22"/>
      <c r="D3" s="22"/>
      <c r="E3" s="22"/>
      <c r="F3" s="22"/>
      <c r="G3" s="22"/>
      <c r="H3" s="22"/>
      <c r="I3" s="22"/>
      <c r="J3" s="22"/>
      <c r="K3" s="22"/>
      <c r="L3" s="2"/>
    </row>
    <row r="4" spans="1:16">
      <c r="A4" s="593"/>
      <c r="B4" s="22"/>
      <c r="C4" s="22"/>
      <c r="D4" s="22"/>
      <c r="E4" s="22"/>
      <c r="F4" s="22"/>
      <c r="G4" s="22"/>
      <c r="H4" s="22"/>
      <c r="I4" s="22"/>
      <c r="J4" s="22"/>
      <c r="K4" s="22"/>
      <c r="L4" s="22"/>
    </row>
    <row r="5" spans="1:16" ht="31.2">
      <c r="A5" s="593"/>
      <c r="B5" s="1746" t="s">
        <v>1289</v>
      </c>
      <c r="C5" s="1747"/>
      <c r="D5" s="1748"/>
      <c r="E5" s="334" t="s">
        <v>1428</v>
      </c>
      <c r="F5" s="334" t="s">
        <v>1427</v>
      </c>
      <c r="G5" s="22"/>
      <c r="H5" s="22"/>
      <c r="I5" s="22"/>
      <c r="J5" s="22"/>
      <c r="K5" s="22"/>
      <c r="L5" s="22"/>
    </row>
    <row r="6" spans="1:16">
      <c r="A6" s="593"/>
      <c r="B6" s="968">
        <v>0</v>
      </c>
      <c r="C6" s="965" t="s">
        <v>1426</v>
      </c>
      <c r="D6" s="964">
        <v>500</v>
      </c>
      <c r="E6" s="580">
        <v>2570</v>
      </c>
      <c r="F6" s="580">
        <v>886650</v>
      </c>
      <c r="G6" s="22"/>
      <c r="H6" s="22"/>
      <c r="I6" s="22"/>
      <c r="J6" s="22"/>
      <c r="K6" s="22"/>
      <c r="L6" s="22"/>
    </row>
    <row r="7" spans="1:16">
      <c r="A7" s="593"/>
      <c r="B7" s="968">
        <v>501</v>
      </c>
      <c r="C7" s="965" t="s">
        <v>1426</v>
      </c>
      <c r="D7" s="967">
        <v>1000</v>
      </c>
      <c r="E7" s="580">
        <v>2860</v>
      </c>
      <c r="F7" s="580">
        <v>1976260</v>
      </c>
      <c r="G7" s="22"/>
      <c r="H7" s="22"/>
      <c r="I7" s="22"/>
      <c r="J7" s="22"/>
      <c r="K7" s="22"/>
      <c r="L7" s="22"/>
    </row>
    <row r="8" spans="1:16">
      <c r="A8" s="593"/>
      <c r="B8" s="966">
        <v>1001</v>
      </c>
      <c r="C8" s="965" t="s">
        <v>1426</v>
      </c>
      <c r="D8" s="967">
        <v>2000</v>
      </c>
      <c r="E8" s="580">
        <v>2235</v>
      </c>
      <c r="F8" s="580">
        <v>3256395</v>
      </c>
      <c r="G8" s="22"/>
      <c r="H8" s="22"/>
      <c r="I8" s="22"/>
      <c r="J8" s="22"/>
      <c r="K8" s="22"/>
      <c r="L8" s="22"/>
    </row>
    <row r="9" spans="1:16">
      <c r="A9" s="22"/>
      <c r="B9" s="966">
        <v>2001</v>
      </c>
      <c r="C9" s="965" t="s">
        <v>1426</v>
      </c>
      <c r="D9" s="964" t="s">
        <v>1425</v>
      </c>
      <c r="E9" s="580">
        <v>1975</v>
      </c>
      <c r="F9" s="580">
        <v>6485900</v>
      </c>
      <c r="G9" s="22"/>
      <c r="H9" s="22"/>
      <c r="I9" s="22"/>
      <c r="J9" s="22"/>
      <c r="K9" s="22"/>
      <c r="L9" s="22"/>
    </row>
    <row r="10" spans="1:16">
      <c r="A10" s="22"/>
      <c r="B10" s="1746" t="s">
        <v>98</v>
      </c>
      <c r="C10" s="1747"/>
      <c r="D10" s="1748"/>
      <c r="E10" s="808">
        <f>SUM(E6:E9)</f>
        <v>9640</v>
      </c>
      <c r="F10" s="808">
        <f>SUM(F6:F9)</f>
        <v>12605205</v>
      </c>
      <c r="G10" s="22"/>
      <c r="H10" s="22"/>
      <c r="I10" s="22"/>
      <c r="J10" s="22"/>
      <c r="K10" s="22"/>
      <c r="L10" s="22"/>
    </row>
    <row r="11" spans="1:16">
      <c r="A11" s="593"/>
      <c r="B11" s="22"/>
      <c r="C11" s="22"/>
      <c r="D11" s="22"/>
      <c r="E11" s="22"/>
      <c r="F11" s="22"/>
      <c r="G11" s="22"/>
      <c r="H11" s="22"/>
      <c r="I11" s="22"/>
      <c r="J11" s="22"/>
      <c r="K11" s="22"/>
      <c r="L11" s="22"/>
    </row>
    <row r="12" spans="1:16">
      <c r="A12" s="22"/>
      <c r="B12" s="22" t="s">
        <v>1424</v>
      </c>
      <c r="C12" s="22"/>
      <c r="D12" s="22"/>
      <c r="E12" s="22"/>
      <c r="F12" s="22"/>
      <c r="G12" s="22"/>
      <c r="H12" s="22"/>
      <c r="I12" s="22"/>
      <c r="J12" s="22"/>
      <c r="K12" s="22"/>
      <c r="L12" s="22"/>
    </row>
    <row r="13" spans="1:16">
      <c r="A13" s="22"/>
      <c r="B13" s="22"/>
      <c r="C13" s="22"/>
      <c r="D13" s="22"/>
      <c r="E13" s="22"/>
      <c r="F13" s="22"/>
      <c r="G13" s="22"/>
      <c r="H13" s="22"/>
      <c r="I13" s="22"/>
      <c r="J13" s="22"/>
      <c r="K13" s="22"/>
      <c r="L13" s="22"/>
    </row>
    <row r="14" spans="1:16">
      <c r="A14" s="2"/>
      <c r="B14" s="2"/>
      <c r="C14" s="2"/>
      <c r="D14" s="2"/>
      <c r="E14" s="2"/>
      <c r="F14" s="2"/>
      <c r="G14" s="2"/>
      <c r="H14" s="2"/>
      <c r="I14" s="2"/>
      <c r="J14" s="2"/>
      <c r="K14" s="2"/>
      <c r="L14" s="2"/>
    </row>
    <row r="15" spans="1:16">
      <c r="A15" s="577" t="s">
        <v>80</v>
      </c>
      <c r="B15" s="22" t="s">
        <v>1423</v>
      </c>
      <c r="C15" s="22"/>
      <c r="D15" s="22"/>
      <c r="E15" s="22"/>
      <c r="F15" s="22"/>
      <c r="G15" s="22"/>
      <c r="H15" s="22"/>
      <c r="I15" s="22"/>
      <c r="J15" s="22"/>
      <c r="K15" s="22"/>
      <c r="L15" s="22"/>
      <c r="M15" s="328"/>
      <c r="N15" s="328"/>
      <c r="O15" s="328"/>
      <c r="P15" s="328"/>
    </row>
    <row r="16" spans="1:16">
      <c r="A16" s="2"/>
      <c r="B16" s="2"/>
      <c r="C16" s="2"/>
      <c r="D16" s="2"/>
      <c r="E16" s="2"/>
      <c r="F16" s="2"/>
      <c r="G16" s="22"/>
      <c r="H16" s="22"/>
      <c r="I16" s="22"/>
      <c r="J16" s="22"/>
      <c r="K16" s="22"/>
      <c r="L16" s="22"/>
    </row>
    <row r="17" spans="1:14">
      <c r="A17" s="37"/>
      <c r="B17" s="37"/>
      <c r="C17" s="37"/>
      <c r="D17" s="37"/>
      <c r="E17" s="37"/>
      <c r="F17" s="37"/>
      <c r="G17" s="37"/>
      <c r="H17" s="37"/>
      <c r="I17" s="37"/>
      <c r="J17" s="37"/>
      <c r="K17" s="37"/>
      <c r="L17" s="37"/>
      <c r="M17" s="37"/>
    </row>
    <row r="18" spans="1:14">
      <c r="A18" s="37" t="s">
        <v>650</v>
      </c>
      <c r="B18" s="37"/>
      <c r="C18" s="37"/>
      <c r="D18" s="37"/>
      <c r="E18" s="37"/>
      <c r="F18" s="37"/>
      <c r="G18" s="37"/>
      <c r="H18" s="37"/>
      <c r="I18" s="37"/>
      <c r="J18" s="37"/>
      <c r="K18" s="37"/>
      <c r="L18" s="37"/>
      <c r="M18" s="37"/>
      <c r="N18" s="328"/>
    </row>
    <row r="19" spans="1:14">
      <c r="A19" s="37"/>
      <c r="B19" s="37"/>
      <c r="C19" s="37"/>
      <c r="D19" s="37"/>
      <c r="E19" s="37"/>
      <c r="F19" s="37"/>
      <c r="G19" s="37"/>
      <c r="H19" s="37"/>
      <c r="I19" s="37"/>
      <c r="J19" s="37"/>
      <c r="K19" s="37"/>
      <c r="L19" s="37"/>
      <c r="M19" s="37"/>
      <c r="N19" s="328"/>
    </row>
    <row r="20" spans="1:14">
      <c r="A20" s="37" t="s">
        <v>1422</v>
      </c>
      <c r="B20" s="87"/>
      <c r="C20" s="87"/>
      <c r="D20" s="87"/>
      <c r="E20" s="87"/>
      <c r="F20" s="429">
        <f>F6+500*SUM(E7:E9)</f>
        <v>4421650</v>
      </c>
      <c r="G20" s="37"/>
      <c r="H20" s="37"/>
      <c r="I20" s="37"/>
      <c r="J20" s="37"/>
      <c r="K20" s="37"/>
      <c r="L20" s="37"/>
      <c r="M20" s="37"/>
      <c r="N20" s="328"/>
    </row>
    <row r="21" spans="1:14">
      <c r="A21" s="37" t="s">
        <v>1421</v>
      </c>
      <c r="B21" s="87"/>
      <c r="C21" s="87"/>
      <c r="D21" s="87"/>
      <c r="E21" s="87"/>
      <c r="F21" s="429">
        <f>F10-F20</f>
        <v>8183555</v>
      </c>
      <c r="G21" s="37"/>
      <c r="H21" s="37"/>
      <c r="I21" s="37"/>
      <c r="J21" s="37"/>
      <c r="K21" s="37"/>
      <c r="L21" s="37"/>
      <c r="M21" s="37"/>
      <c r="N21" s="328"/>
    </row>
    <row r="22" spans="1:14">
      <c r="A22" s="37"/>
      <c r="B22" s="87"/>
      <c r="C22" s="87"/>
      <c r="D22" s="87"/>
      <c r="E22" s="87"/>
      <c r="F22" s="37"/>
      <c r="G22" s="37"/>
      <c r="H22" s="37"/>
      <c r="I22" s="37"/>
      <c r="J22" s="37"/>
      <c r="K22" s="37"/>
      <c r="L22" s="37"/>
      <c r="M22" s="37"/>
      <c r="N22" s="328"/>
    </row>
    <row r="23" spans="1:14">
      <c r="A23" s="37" t="s">
        <v>1420</v>
      </c>
      <c r="B23" s="87"/>
      <c r="C23" s="87"/>
      <c r="D23" s="87"/>
      <c r="E23" s="87"/>
      <c r="F23" s="429">
        <f>F6+F7+1000*SUM(E8:E9)</f>
        <v>7072910</v>
      </c>
      <c r="G23" s="37"/>
      <c r="H23" s="37"/>
      <c r="I23" s="37"/>
      <c r="J23" s="37"/>
      <c r="K23" s="37"/>
      <c r="L23" s="37"/>
      <c r="M23" s="37"/>
      <c r="N23" s="328"/>
    </row>
    <row r="24" spans="1:14">
      <c r="A24" s="37" t="s">
        <v>1419</v>
      </c>
      <c r="B24" s="87"/>
      <c r="C24" s="87"/>
      <c r="D24" s="87"/>
      <c r="E24" s="87"/>
      <c r="F24" s="429">
        <f>F10-F23</f>
        <v>5532295</v>
      </c>
      <c r="G24" s="37"/>
      <c r="H24" s="37"/>
      <c r="I24" s="37"/>
      <c r="J24" s="37"/>
      <c r="K24" s="37"/>
      <c r="L24" s="37"/>
      <c r="M24" s="37"/>
      <c r="N24" s="328"/>
    </row>
    <row r="25" spans="1:14">
      <c r="A25" s="37"/>
      <c r="B25" s="87"/>
      <c r="C25" s="87"/>
      <c r="D25" s="87"/>
      <c r="E25" s="87"/>
      <c r="F25" s="37"/>
      <c r="G25" s="37"/>
      <c r="H25" s="37"/>
      <c r="I25" s="37"/>
      <c r="J25" s="37"/>
      <c r="K25" s="37"/>
      <c r="L25" s="37"/>
      <c r="M25" s="37"/>
      <c r="N25" s="328"/>
    </row>
    <row r="26" spans="1:14">
      <c r="A26" s="37" t="s">
        <v>1414</v>
      </c>
      <c r="B26" s="87"/>
      <c r="C26" s="87"/>
      <c r="D26" s="87"/>
      <c r="E26" s="87"/>
      <c r="F26" s="938">
        <f>F24/F21</f>
        <v>0.67602588361659455</v>
      </c>
      <c r="G26" s="37"/>
      <c r="H26" s="37"/>
      <c r="I26" s="37"/>
      <c r="J26" s="37"/>
      <c r="K26" s="37"/>
      <c r="L26" s="37"/>
      <c r="M26" s="37"/>
      <c r="N26" s="328"/>
    </row>
    <row r="28" spans="1:14">
      <c r="A28" s="577" t="s">
        <v>9</v>
      </c>
      <c r="B28" s="22" t="s">
        <v>1418</v>
      </c>
      <c r="C28" s="22"/>
      <c r="D28" s="22"/>
      <c r="E28" s="22"/>
      <c r="F28" s="22"/>
      <c r="G28" s="22"/>
      <c r="H28" s="22"/>
      <c r="I28" s="22"/>
      <c r="J28" s="22"/>
      <c r="K28" s="22"/>
      <c r="L28" s="22"/>
    </row>
    <row r="29" spans="1:14">
      <c r="A29" s="2"/>
      <c r="B29" s="2"/>
      <c r="C29" s="2"/>
      <c r="D29" s="2"/>
      <c r="E29" s="2"/>
      <c r="F29" s="2"/>
      <c r="G29" s="22"/>
      <c r="H29" s="22"/>
      <c r="I29" s="22"/>
      <c r="J29" s="22"/>
      <c r="K29" s="22"/>
      <c r="L29" s="22"/>
    </row>
    <row r="30" spans="1:14">
      <c r="A30" s="37"/>
      <c r="B30" s="37"/>
      <c r="C30" s="37"/>
      <c r="D30" s="37"/>
      <c r="E30" s="37"/>
      <c r="F30" s="37"/>
      <c r="G30" s="37"/>
      <c r="H30" s="37"/>
      <c r="I30" s="37"/>
      <c r="J30" s="37"/>
      <c r="K30" s="37"/>
      <c r="L30" s="37"/>
    </row>
    <row r="31" spans="1:14">
      <c r="A31" s="37" t="s">
        <v>650</v>
      </c>
      <c r="B31" s="37"/>
      <c r="C31" s="37"/>
      <c r="D31" s="37"/>
      <c r="E31" s="37"/>
      <c r="F31" s="37"/>
      <c r="G31" s="37"/>
      <c r="H31" s="37"/>
      <c r="I31" s="37"/>
      <c r="J31" s="37"/>
      <c r="K31" s="37"/>
      <c r="L31" s="37"/>
    </row>
    <row r="32" spans="1:14">
      <c r="A32" s="37"/>
      <c r="B32" s="37"/>
      <c r="C32" s="37"/>
      <c r="D32" s="37"/>
      <c r="E32" s="37"/>
      <c r="F32" s="37"/>
      <c r="G32" s="37"/>
      <c r="H32" s="37"/>
      <c r="I32" s="37"/>
      <c r="J32" s="37"/>
      <c r="K32" s="37"/>
      <c r="L32" s="37"/>
    </row>
    <row r="33" spans="1:13">
      <c r="A33" s="37" t="s">
        <v>1417</v>
      </c>
      <c r="B33" s="37"/>
      <c r="C33" s="37"/>
      <c r="D33" s="37"/>
      <c r="E33" s="37"/>
      <c r="F33" s="37"/>
      <c r="G33" s="37"/>
      <c r="H33" s="87"/>
      <c r="I33" s="37"/>
      <c r="J33" s="37"/>
      <c r="K33" s="37"/>
      <c r="L33" s="37"/>
    </row>
    <row r="34" spans="1:13">
      <c r="A34" s="37" t="s">
        <v>1416</v>
      </c>
      <c r="B34" s="87"/>
      <c r="C34" s="87"/>
      <c r="D34" s="87"/>
      <c r="E34" s="87"/>
      <c r="F34" s="429">
        <f>SUM(F6:F8)+2000*E9</f>
        <v>10069305</v>
      </c>
      <c r="G34" s="37"/>
      <c r="H34" s="37"/>
      <c r="I34" s="37"/>
      <c r="J34" s="37"/>
      <c r="K34" s="37"/>
      <c r="L34" s="37"/>
    </row>
    <row r="35" spans="1:13">
      <c r="A35" s="37" t="s">
        <v>1415</v>
      </c>
      <c r="B35" s="87"/>
      <c r="C35" s="87"/>
      <c r="D35" s="87"/>
      <c r="E35" s="87"/>
      <c r="F35" s="429">
        <f>F10-F34</f>
        <v>2535900</v>
      </c>
      <c r="G35" s="37"/>
      <c r="H35" s="37"/>
      <c r="I35" s="37"/>
      <c r="J35" s="37"/>
      <c r="K35" s="37"/>
      <c r="L35" s="37"/>
    </row>
    <row r="36" spans="1:13">
      <c r="A36" s="37"/>
      <c r="B36" s="37"/>
      <c r="C36" s="37"/>
      <c r="D36" s="37"/>
      <c r="E36" s="37"/>
      <c r="F36" s="37"/>
      <c r="G36" s="87"/>
      <c r="H36" s="87"/>
      <c r="I36" s="37"/>
      <c r="J36" s="37"/>
      <c r="K36" s="37"/>
      <c r="L36" s="37"/>
    </row>
    <row r="37" spans="1:13">
      <c r="A37" s="37" t="s">
        <v>1414</v>
      </c>
      <c r="B37" s="87"/>
      <c r="C37" s="87"/>
      <c r="D37" s="938">
        <f>F35/F21</f>
        <v>0.30987755321495364</v>
      </c>
      <c r="E37" s="37"/>
      <c r="F37" s="37"/>
      <c r="G37" s="87"/>
      <c r="H37" s="87"/>
      <c r="I37" s="37"/>
      <c r="J37" s="37"/>
      <c r="K37" s="37"/>
      <c r="L37" s="37"/>
    </row>
    <row r="38" spans="1:13">
      <c r="A38" s="37"/>
      <c r="B38" s="37"/>
      <c r="C38" s="37"/>
      <c r="D38" s="37"/>
      <c r="E38" s="37"/>
      <c r="F38" s="37"/>
      <c r="G38" s="37"/>
      <c r="H38" s="87"/>
      <c r="I38" s="37"/>
      <c r="J38" s="37"/>
      <c r="K38" s="37"/>
      <c r="L38" s="37"/>
    </row>
    <row r="39" spans="1:13">
      <c r="A39" s="37" t="s">
        <v>1413</v>
      </c>
      <c r="B39" s="37"/>
      <c r="C39" s="37"/>
      <c r="D39" s="37"/>
      <c r="E39" s="37"/>
      <c r="F39" s="37"/>
      <c r="G39" s="37"/>
      <c r="H39" s="87"/>
      <c r="I39" s="37"/>
      <c r="J39" s="37"/>
      <c r="K39" s="37"/>
      <c r="L39" s="37"/>
    </row>
    <row r="40" spans="1:13">
      <c r="A40" s="37"/>
      <c r="B40" s="37"/>
      <c r="C40" s="37"/>
      <c r="D40" s="37"/>
      <c r="E40" s="37"/>
      <c r="F40" s="37"/>
      <c r="G40" s="37"/>
      <c r="H40" s="87"/>
      <c r="I40" s="37"/>
      <c r="J40" s="37"/>
      <c r="K40" s="37"/>
      <c r="L40" s="37"/>
    </row>
    <row r="41" spans="1:13">
      <c r="A41" s="37" t="s">
        <v>1412</v>
      </c>
      <c r="B41" s="37"/>
      <c r="C41" s="37"/>
      <c r="D41" s="37"/>
      <c r="E41"/>
      <c r="F41" s="37"/>
      <c r="G41" s="37"/>
      <c r="H41" s="87"/>
      <c r="I41" s="37"/>
      <c r="J41" s="37"/>
      <c r="K41" s="37"/>
      <c r="L41" s="37"/>
    </row>
    <row r="42" spans="1:13">
      <c r="A42" s="37" t="s">
        <v>1411</v>
      </c>
      <c r="B42" s="638"/>
      <c r="C42" s="37"/>
      <c r="D42" s="37"/>
      <c r="E42" s="37"/>
      <c r="F42" s="37"/>
      <c r="G42" s="37"/>
      <c r="H42" s="87"/>
      <c r="I42" s="37"/>
      <c r="J42" s="37"/>
      <c r="K42" s="37"/>
      <c r="L42" s="37"/>
    </row>
    <row r="43" spans="1:13">
      <c r="A43" s="37" t="s">
        <v>1410</v>
      </c>
      <c r="B43" s="87"/>
      <c r="C43" s="37"/>
      <c r="D43" s="87"/>
      <c r="F43" s="37"/>
      <c r="G43" s="37"/>
      <c r="H43" s="87"/>
      <c r="I43" s="638" t="s">
        <v>1409</v>
      </c>
      <c r="J43" s="37"/>
      <c r="K43" s="37"/>
      <c r="L43" s="37"/>
    </row>
    <row r="44" spans="1:13">
      <c r="A44" s="638" t="s">
        <v>1408</v>
      </c>
      <c r="B44" s="37"/>
      <c r="C44" s="37"/>
      <c r="D44" s="963">
        <f>2*F26-1</f>
        <v>0.35205176723318909</v>
      </c>
      <c r="E44" s="37"/>
      <c r="G44" s="37"/>
      <c r="H44" s="87"/>
      <c r="M44" s="37"/>
    </row>
    <row r="45" spans="1:13">
      <c r="A45" s="37"/>
      <c r="B45" s="37"/>
      <c r="C45" s="37"/>
      <c r="D45" s="37"/>
      <c r="E45" s="37"/>
      <c r="F45" s="37"/>
      <c r="G45" s="37"/>
      <c r="H45" s="87"/>
      <c r="M45" s="37"/>
    </row>
    <row r="46" spans="1:13">
      <c r="A46" s="37" t="s">
        <v>1407</v>
      </c>
      <c r="B46" s="87"/>
      <c r="C46" s="37"/>
      <c r="D46" s="37"/>
      <c r="E46" s="37"/>
      <c r="F46" s="37"/>
      <c r="G46" s="37"/>
      <c r="H46" s="87"/>
      <c r="M46" s="37"/>
    </row>
    <row r="47" spans="1:13">
      <c r="A47" s="638" t="s">
        <v>1406</v>
      </c>
      <c r="B47" s="37"/>
      <c r="C47" s="37"/>
      <c r="D47" s="963">
        <f>(F26+D37)/2</f>
        <v>0.49295171841577412</v>
      </c>
      <c r="E47" s="37"/>
      <c r="G47" s="87"/>
      <c r="H47" s="87"/>
    </row>
    <row r="48" spans="1:13">
      <c r="A48" s="37"/>
      <c r="B48" s="37"/>
      <c r="C48" s="37"/>
      <c r="D48" s="37"/>
      <c r="E48" s="37"/>
      <c r="F48" s="37"/>
      <c r="G48" s="37"/>
      <c r="H48" s="87"/>
    </row>
    <row r="49" spans="1:12">
      <c r="A49" s="37" t="s">
        <v>1405</v>
      </c>
      <c r="B49" s="37"/>
      <c r="C49" s="37"/>
      <c r="D49" s="37"/>
      <c r="E49" s="37"/>
      <c r="F49" s="37"/>
      <c r="G49" s="37"/>
      <c r="H49" s="87"/>
    </row>
    <row r="51" spans="1:12">
      <c r="A51" s="577" t="s">
        <v>7</v>
      </c>
      <c r="B51" s="1724" t="s">
        <v>1404</v>
      </c>
      <c r="C51" s="1724"/>
      <c r="D51" s="1724"/>
      <c r="E51" s="1724"/>
      <c r="F51" s="1724"/>
      <c r="G51" s="1724"/>
      <c r="H51" s="1724"/>
      <c r="I51" s="1724"/>
      <c r="J51" s="1724"/>
      <c r="K51" s="1724"/>
      <c r="L51" s="22"/>
    </row>
    <row r="52" spans="1:12">
      <c r="A52" s="577"/>
      <c r="B52" s="1724"/>
      <c r="C52" s="1724"/>
      <c r="D52" s="1724"/>
      <c r="E52" s="1724"/>
      <c r="F52" s="1724"/>
      <c r="G52" s="1724"/>
      <c r="H52" s="1724"/>
      <c r="I52" s="1724"/>
      <c r="J52" s="1724"/>
      <c r="K52" s="1724"/>
      <c r="L52" s="22"/>
    </row>
    <row r="53" spans="1:12">
      <c r="A53" s="2"/>
      <c r="B53" s="2"/>
      <c r="C53" s="2"/>
      <c r="D53" s="2"/>
      <c r="E53" s="2"/>
      <c r="F53" s="2"/>
      <c r="G53" s="22"/>
      <c r="H53" s="22"/>
      <c r="I53" s="22"/>
      <c r="J53" s="22"/>
      <c r="K53" s="22"/>
      <c r="L53" s="22"/>
    </row>
    <row r="54" spans="1:12">
      <c r="A54" s="37"/>
      <c r="B54" s="37"/>
      <c r="C54" s="37"/>
      <c r="D54" s="37"/>
      <c r="E54" s="37"/>
      <c r="F54" s="37"/>
      <c r="G54" s="37"/>
      <c r="H54" s="37"/>
      <c r="I54" s="37"/>
      <c r="J54" s="37"/>
      <c r="K54" s="37"/>
      <c r="L54" s="37"/>
    </row>
    <row r="55" spans="1:12">
      <c r="A55" s="37" t="s">
        <v>650</v>
      </c>
      <c r="B55" s="37"/>
      <c r="C55" s="37"/>
      <c r="D55" s="37"/>
      <c r="E55" s="37"/>
      <c r="F55" s="37"/>
      <c r="G55" s="37"/>
      <c r="H55" s="37"/>
      <c r="I55" s="37"/>
      <c r="J55" s="37"/>
      <c r="K55" s="37"/>
      <c r="L55" s="37"/>
    </row>
    <row r="56" spans="1:12">
      <c r="A56" s="37"/>
      <c r="B56" s="37"/>
      <c r="C56" s="37"/>
      <c r="D56" s="37"/>
      <c r="E56" s="37"/>
      <c r="F56" s="37"/>
      <c r="G56" s="37"/>
      <c r="H56" s="37"/>
      <c r="I56" s="37"/>
      <c r="J56" s="37"/>
      <c r="K56" s="37"/>
      <c r="L56" s="37"/>
    </row>
    <row r="57" spans="1:12">
      <c r="A57" s="37" t="s">
        <v>1403</v>
      </c>
      <c r="B57" s="37"/>
      <c r="C57" s="37"/>
      <c r="D57" s="37"/>
      <c r="E57" s="37"/>
      <c r="F57" s="37"/>
      <c r="G57" s="37"/>
      <c r="H57" s="37"/>
      <c r="I57" s="37"/>
      <c r="J57" s="37"/>
      <c r="K57" s="37"/>
      <c r="L57" s="37"/>
    </row>
    <row r="59" spans="1:12">
      <c r="A59" s="577" t="s">
        <v>4</v>
      </c>
      <c r="B59" s="1724" t="s">
        <v>1402</v>
      </c>
      <c r="C59" s="1724"/>
      <c r="D59" s="1724"/>
      <c r="E59" s="1724"/>
      <c r="F59" s="1724"/>
      <c r="G59" s="1724"/>
      <c r="H59" s="1724"/>
      <c r="I59" s="1724"/>
      <c r="J59" s="1724"/>
      <c r="K59" s="1724"/>
      <c r="L59" s="22"/>
    </row>
    <row r="60" spans="1:12">
      <c r="A60" s="577"/>
      <c r="B60" s="1724"/>
      <c r="C60" s="1724"/>
      <c r="D60" s="1724"/>
      <c r="E60" s="1724"/>
      <c r="F60" s="1724"/>
      <c r="G60" s="1724"/>
      <c r="H60" s="1724"/>
      <c r="I60" s="1724"/>
      <c r="J60" s="1724"/>
      <c r="K60" s="1724"/>
      <c r="L60" s="22"/>
    </row>
    <row r="61" spans="1:12">
      <c r="A61" s="2"/>
      <c r="B61" s="2"/>
      <c r="C61" s="2"/>
      <c r="D61" s="2"/>
      <c r="E61" s="2"/>
      <c r="F61" s="2"/>
      <c r="G61" s="22"/>
      <c r="H61" s="22"/>
      <c r="I61" s="22"/>
      <c r="J61" s="22"/>
      <c r="K61" s="22"/>
      <c r="L61" s="22"/>
    </row>
    <row r="62" spans="1:12">
      <c r="A62" s="37"/>
      <c r="B62" s="37"/>
      <c r="C62" s="37"/>
      <c r="D62" s="37"/>
      <c r="E62" s="37"/>
      <c r="F62" s="37"/>
      <c r="G62" s="37"/>
      <c r="H62" s="37"/>
      <c r="I62" s="37"/>
      <c r="J62" s="37"/>
      <c r="K62" s="37"/>
      <c r="L62" s="37"/>
    </row>
    <row r="63" spans="1:12">
      <c r="A63" s="37" t="s">
        <v>650</v>
      </c>
      <c r="B63" s="37"/>
      <c r="C63" s="37"/>
      <c r="D63" s="37"/>
      <c r="E63" s="37"/>
      <c r="F63" s="37"/>
      <c r="G63" s="37"/>
      <c r="H63" s="37"/>
      <c r="I63" s="37"/>
      <c r="J63" s="37"/>
      <c r="K63" s="37"/>
      <c r="L63" s="37"/>
    </row>
    <row r="64" spans="1:12">
      <c r="A64" s="37"/>
      <c r="B64" s="37"/>
      <c r="C64" s="37"/>
      <c r="D64" s="37"/>
      <c r="E64" s="37"/>
      <c r="F64" s="37"/>
      <c r="G64" s="37"/>
      <c r="H64" s="37"/>
      <c r="I64" s="37"/>
      <c r="J64" s="37"/>
      <c r="K64" s="37"/>
      <c r="L64" s="37"/>
    </row>
    <row r="65" spans="1:13">
      <c r="A65" s="37" t="s">
        <v>1401</v>
      </c>
      <c r="B65" s="37"/>
      <c r="C65" s="37"/>
      <c r="D65" s="37"/>
      <c r="E65" s="37"/>
      <c r="F65" s="37"/>
      <c r="G65" s="37"/>
      <c r="H65" s="37"/>
      <c r="I65" s="37"/>
      <c r="J65" s="37"/>
      <c r="K65" s="37"/>
      <c r="L65" s="37"/>
    </row>
    <row r="68" spans="1:13">
      <c r="M68" s="37"/>
    </row>
    <row r="69" spans="1:13">
      <c r="M69" s="37"/>
    </row>
  </sheetData>
  <mergeCells count="4">
    <mergeCell ref="B5:D5"/>
    <mergeCell ref="B10:D10"/>
    <mergeCell ref="B51:K52"/>
    <mergeCell ref="B59:K60"/>
  </mergeCells>
  <pageMargins left="0.7" right="0.7" top="0.75" bottom="0.75" header="0.3" footer="0.3"/>
  <pageSetup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9CF7C-E9C8-4D9B-9E0F-86391031421C}">
  <dimension ref="A1:R69"/>
  <sheetViews>
    <sheetView zoomScaleNormal="100" workbookViewId="0"/>
  </sheetViews>
  <sheetFormatPr defaultColWidth="8.88671875" defaultRowHeight="15.6"/>
  <cols>
    <col min="1" max="2" width="8.88671875" style="1" customWidth="1"/>
    <col min="3" max="7" width="12.6640625" style="1" customWidth="1"/>
    <col min="8" max="8" width="8.88671875" style="1" customWidth="1"/>
    <col min="9" max="16384" width="8.88671875" style="1"/>
  </cols>
  <sheetData>
    <row r="1" spans="1:18" ht="17.399999999999999">
      <c r="A1" s="23" t="s">
        <v>1472</v>
      </c>
      <c r="B1" s="22"/>
      <c r="C1" s="22" t="s">
        <v>758</v>
      </c>
      <c r="D1" s="22"/>
      <c r="E1" s="22"/>
      <c r="F1" s="22"/>
      <c r="G1" s="22"/>
      <c r="H1" s="22"/>
      <c r="I1" s="22"/>
      <c r="J1" s="22"/>
      <c r="K1" s="22"/>
      <c r="L1" s="2"/>
    </row>
    <row r="2" spans="1:18">
      <c r="A2" s="22"/>
      <c r="B2" s="22"/>
      <c r="C2" s="22"/>
      <c r="D2" s="22"/>
      <c r="E2" s="22"/>
      <c r="F2" s="22"/>
      <c r="G2" s="22"/>
      <c r="H2" s="22"/>
      <c r="I2" s="22"/>
      <c r="J2" s="22"/>
      <c r="K2" s="22"/>
      <c r="L2" s="2"/>
    </row>
    <row r="3" spans="1:18" ht="15.6" customHeight="1">
      <c r="A3" s="22" t="s">
        <v>1471</v>
      </c>
      <c r="B3" s="22"/>
      <c r="C3" s="22"/>
      <c r="D3" s="22"/>
      <c r="E3" s="22"/>
      <c r="F3" s="22"/>
      <c r="G3" s="22"/>
      <c r="H3" s="22"/>
      <c r="I3" s="22"/>
      <c r="J3" s="22"/>
      <c r="K3" s="22"/>
      <c r="L3" s="2"/>
    </row>
    <row r="4" spans="1:18">
      <c r="A4" s="22" t="s">
        <v>1470</v>
      </c>
      <c r="B4" s="22"/>
      <c r="C4" s="653">
        <v>1000</v>
      </c>
      <c r="D4" s="22" t="s">
        <v>1469</v>
      </c>
      <c r="E4" s="22"/>
      <c r="F4" s="22"/>
      <c r="G4" s="22"/>
      <c r="H4" s="22"/>
      <c r="I4" s="22"/>
      <c r="J4" s="22"/>
      <c r="K4" s="22"/>
      <c r="L4" s="22"/>
    </row>
    <row r="5" spans="1:18">
      <c r="A5" s="22" t="s">
        <v>1468</v>
      </c>
      <c r="B5" s="22"/>
      <c r="C5" s="22"/>
      <c r="D5" s="22"/>
      <c r="E5" s="22"/>
      <c r="F5" s="22"/>
      <c r="G5" s="22"/>
      <c r="H5" s="22"/>
      <c r="I5" s="22"/>
      <c r="J5" s="22"/>
      <c r="K5" s="22"/>
      <c r="L5" s="22"/>
    </row>
    <row r="6" spans="1:18">
      <c r="A6" s="22"/>
      <c r="B6" s="22"/>
      <c r="C6" s="22"/>
      <c r="D6" s="22"/>
      <c r="E6" s="22"/>
      <c r="F6" s="22"/>
      <c r="G6" s="22"/>
      <c r="H6" s="22"/>
      <c r="I6" s="22"/>
      <c r="J6" s="22"/>
      <c r="K6" s="22"/>
      <c r="L6" s="22"/>
    </row>
    <row r="7" spans="1:18">
      <c r="A7" s="2"/>
      <c r="B7" s="2"/>
      <c r="C7" s="2"/>
      <c r="D7" s="2"/>
      <c r="E7" s="2"/>
      <c r="F7" s="2"/>
      <c r="G7" s="2"/>
      <c r="H7" s="2"/>
      <c r="I7" s="2"/>
      <c r="J7" s="2"/>
      <c r="K7" s="2"/>
      <c r="L7" s="2"/>
    </row>
    <row r="8" spans="1:18">
      <c r="A8" s="577" t="s">
        <v>80</v>
      </c>
      <c r="B8" s="22" t="s">
        <v>1467</v>
      </c>
      <c r="C8" s="22"/>
      <c r="D8" s="22"/>
      <c r="E8" s="22"/>
      <c r="F8" s="22"/>
      <c r="G8" s="22"/>
      <c r="H8" s="22"/>
      <c r="I8" s="22"/>
      <c r="J8" s="22"/>
      <c r="K8" s="22"/>
      <c r="L8" s="22"/>
      <c r="M8" s="328"/>
      <c r="N8" s="328"/>
      <c r="O8" s="328"/>
      <c r="P8" s="328"/>
      <c r="Q8" s="328"/>
      <c r="R8" s="328"/>
    </row>
    <row r="9" spans="1:18">
      <c r="A9" s="577"/>
      <c r="B9" s="22"/>
      <c r="C9" s="22"/>
      <c r="D9" s="22"/>
      <c r="E9" s="22"/>
      <c r="F9" s="22"/>
      <c r="G9" s="22"/>
      <c r="H9" s="22"/>
      <c r="I9" s="22"/>
      <c r="J9" s="22"/>
      <c r="K9" s="22"/>
      <c r="L9" s="22"/>
      <c r="M9" s="328"/>
      <c r="N9" s="328"/>
      <c r="O9" s="328"/>
      <c r="P9" s="328"/>
      <c r="Q9" s="328"/>
      <c r="R9" s="328"/>
    </row>
    <row r="10" spans="1:18">
      <c r="A10" s="577"/>
      <c r="B10" s="408" t="s">
        <v>350</v>
      </c>
      <c r="C10" s="376" t="s">
        <v>1466</v>
      </c>
      <c r="D10" s="22"/>
      <c r="E10" s="22"/>
      <c r="F10" s="498">
        <v>500</v>
      </c>
      <c r="G10" s="22" t="s">
        <v>1465</v>
      </c>
      <c r="H10" s="22"/>
      <c r="I10" s="22"/>
      <c r="J10" s="22"/>
      <c r="K10" s="22"/>
      <c r="L10" s="22"/>
      <c r="M10" s="328"/>
      <c r="N10" s="328"/>
      <c r="O10" s="328"/>
      <c r="P10" s="328"/>
      <c r="Q10" s="328"/>
      <c r="R10" s="328"/>
    </row>
    <row r="11" spans="1:18">
      <c r="A11" s="577"/>
      <c r="B11" s="804"/>
      <c r="C11" s="325"/>
      <c r="D11" s="22"/>
      <c r="E11" s="22"/>
      <c r="F11" s="22"/>
      <c r="G11" s="22"/>
      <c r="H11" s="22"/>
      <c r="I11" s="22"/>
      <c r="J11" s="22"/>
      <c r="K11" s="22"/>
      <c r="L11" s="22"/>
      <c r="M11" s="328"/>
      <c r="N11" s="328"/>
      <c r="O11" s="328"/>
      <c r="P11" s="328"/>
      <c r="Q11" s="328"/>
      <c r="R11" s="328"/>
    </row>
    <row r="12" spans="1:18">
      <c r="A12" s="577"/>
      <c r="B12" s="408" t="s">
        <v>344</v>
      </c>
      <c r="C12" s="376" t="s">
        <v>1271</v>
      </c>
      <c r="D12" s="22"/>
      <c r="E12" s="654">
        <v>0.2</v>
      </c>
      <c r="F12" s="22" t="s">
        <v>1464</v>
      </c>
      <c r="G12" s="2"/>
      <c r="H12" s="22"/>
      <c r="I12" s="22"/>
      <c r="J12" s="22"/>
      <c r="K12" s="22"/>
      <c r="L12" s="22"/>
      <c r="M12" s="328"/>
      <c r="N12" s="328"/>
      <c r="O12" s="328"/>
      <c r="P12" s="328"/>
      <c r="Q12" s="328"/>
      <c r="R12" s="328"/>
    </row>
    <row r="13" spans="1:18">
      <c r="A13" s="577"/>
      <c r="B13" s="804"/>
      <c r="C13" s="325"/>
      <c r="D13" s="22"/>
      <c r="E13" s="22"/>
      <c r="F13" s="22"/>
      <c r="G13" s="22"/>
      <c r="H13" s="22"/>
      <c r="I13" s="22"/>
      <c r="J13" s="22"/>
      <c r="K13" s="22"/>
      <c r="L13" s="22"/>
      <c r="M13" s="328"/>
      <c r="N13" s="328"/>
      <c r="O13" s="328"/>
      <c r="P13" s="328"/>
      <c r="Q13" s="328"/>
      <c r="R13" s="328"/>
    </row>
    <row r="14" spans="1:18">
      <c r="A14" s="577"/>
      <c r="B14" s="408" t="s">
        <v>974</v>
      </c>
      <c r="C14" s="408" t="s">
        <v>1463</v>
      </c>
      <c r="D14" s="22"/>
      <c r="E14" s="22"/>
      <c r="F14" s="22"/>
      <c r="G14" s="22"/>
      <c r="H14" s="22"/>
      <c r="I14" s="22"/>
      <c r="J14" s="22"/>
      <c r="K14" s="22"/>
      <c r="L14" s="22"/>
      <c r="M14" s="328"/>
      <c r="N14" s="328"/>
      <c r="O14" s="328"/>
      <c r="P14" s="328"/>
      <c r="Q14" s="328"/>
      <c r="R14" s="328"/>
    </row>
    <row r="15" spans="1:18">
      <c r="A15" s="577"/>
      <c r="B15" s="22"/>
      <c r="C15" s="659" t="s">
        <v>1462</v>
      </c>
      <c r="D15" s="22"/>
      <c r="E15" s="22"/>
      <c r="F15" s="22"/>
      <c r="G15" s="22"/>
      <c r="H15" s="22"/>
      <c r="I15" s="653">
        <v>50000</v>
      </c>
      <c r="J15" s="22"/>
      <c r="K15" s="22"/>
      <c r="L15" s="22"/>
      <c r="M15" s="328"/>
      <c r="N15" s="328"/>
      <c r="O15" s="328"/>
      <c r="P15" s="328"/>
      <c r="Q15" s="328"/>
      <c r="R15" s="328"/>
    </row>
    <row r="16" spans="1:18">
      <c r="A16" s="577"/>
      <c r="B16" s="22"/>
      <c r="C16" s="659" t="s">
        <v>1461</v>
      </c>
      <c r="D16" s="22"/>
      <c r="E16" s="22"/>
      <c r="F16" s="22"/>
      <c r="G16" s="22"/>
      <c r="H16" s="22"/>
      <c r="I16" s="22"/>
      <c r="J16" s="653">
        <v>100000</v>
      </c>
      <c r="K16" s="22" t="s">
        <v>1460</v>
      </c>
      <c r="L16" s="22"/>
      <c r="M16" s="328"/>
      <c r="N16" s="328"/>
      <c r="O16" s="328"/>
      <c r="P16" s="328"/>
      <c r="Q16" s="328"/>
      <c r="R16" s="328"/>
    </row>
    <row r="17" spans="1:14">
      <c r="A17" s="22"/>
      <c r="B17" s="22"/>
      <c r="C17" s="1858" t="s">
        <v>1459</v>
      </c>
      <c r="D17" s="1858"/>
      <c r="E17" s="1858"/>
      <c r="F17" s="1858"/>
      <c r="G17" s="1858"/>
      <c r="H17" s="1858"/>
      <c r="I17" s="1858"/>
      <c r="J17" s="1858"/>
      <c r="K17" s="1858"/>
      <c r="L17" s="22"/>
    </row>
    <row r="18" spans="1:14">
      <c r="A18" s="22"/>
      <c r="B18" s="22"/>
      <c r="C18" s="1858"/>
      <c r="D18" s="1858"/>
      <c r="E18" s="1858"/>
      <c r="F18" s="1858"/>
      <c r="G18" s="1858"/>
      <c r="H18" s="1858"/>
      <c r="I18" s="1858"/>
      <c r="J18" s="1858"/>
      <c r="K18" s="1858"/>
      <c r="L18" s="22"/>
    </row>
    <row r="19" spans="1:14">
      <c r="A19" s="22"/>
      <c r="B19" s="970"/>
      <c r="C19" s="325"/>
      <c r="D19" s="22"/>
      <c r="E19" s="22"/>
      <c r="F19" s="2"/>
      <c r="G19" s="22"/>
      <c r="H19" s="22"/>
      <c r="I19" s="22"/>
      <c r="J19" s="22"/>
      <c r="K19" s="22"/>
      <c r="L19" s="22"/>
    </row>
    <row r="20" spans="1:14">
      <c r="A20" s="37"/>
      <c r="B20" s="37"/>
      <c r="C20" s="37"/>
      <c r="D20" s="37"/>
      <c r="E20" s="37"/>
      <c r="F20" s="37"/>
      <c r="G20" s="37"/>
      <c r="H20" s="37"/>
      <c r="I20" s="37"/>
      <c r="J20" s="37"/>
      <c r="K20" s="37"/>
      <c r="L20" s="37"/>
      <c r="M20" s="37"/>
    </row>
    <row r="21" spans="1:14">
      <c r="A21" s="37" t="s">
        <v>650</v>
      </c>
      <c r="B21" s="37"/>
      <c r="C21" s="37"/>
      <c r="D21" s="37"/>
      <c r="E21" s="37"/>
      <c r="F21" s="37"/>
      <c r="G21" s="37"/>
      <c r="H21" s="37"/>
      <c r="I21" s="37"/>
      <c r="J21" s="37"/>
      <c r="K21" s="37"/>
      <c r="L21" s="37"/>
      <c r="M21" s="37"/>
      <c r="N21" s="328"/>
    </row>
    <row r="22" spans="1:14">
      <c r="A22" s="37"/>
      <c r="B22" s="629" t="s">
        <v>350</v>
      </c>
      <c r="C22" s="37" t="s">
        <v>1458</v>
      </c>
      <c r="D22" s="37"/>
      <c r="F22" s="429">
        <f>F10*80</f>
        <v>40000</v>
      </c>
      <c r="G22" s="37"/>
      <c r="H22" s="37"/>
      <c r="I22" s="37"/>
      <c r="J22" s="37"/>
      <c r="K22" s="37"/>
      <c r="L22" s="37"/>
      <c r="M22" s="37"/>
      <c r="N22" s="328"/>
    </row>
    <row r="23" spans="1:14">
      <c r="A23" s="37"/>
      <c r="B23" s="37"/>
      <c r="C23" s="37"/>
      <c r="D23" s="37"/>
      <c r="E23" s="37"/>
      <c r="F23" s="37"/>
      <c r="G23" s="37"/>
      <c r="H23" s="37"/>
      <c r="I23" s="37"/>
      <c r="J23" s="37"/>
      <c r="K23" s="37"/>
      <c r="L23" s="37"/>
      <c r="M23" s="37"/>
      <c r="N23" s="328"/>
    </row>
    <row r="24" spans="1:14">
      <c r="B24" s="1" t="s">
        <v>344</v>
      </c>
      <c r="C24" s="37" t="s">
        <v>1458</v>
      </c>
      <c r="F24" s="429">
        <f>80*C4*E12</f>
        <v>16000</v>
      </c>
      <c r="M24" s="328"/>
      <c r="N24" s="328"/>
    </row>
    <row r="25" spans="1:14">
      <c r="M25" s="328"/>
      <c r="N25" s="328"/>
    </row>
    <row r="26" spans="1:14">
      <c r="B26" s="1" t="s">
        <v>974</v>
      </c>
      <c r="C26" s="37" t="s">
        <v>1457</v>
      </c>
      <c r="F26" s="429">
        <f>J16/(J16-I15)</f>
        <v>2</v>
      </c>
      <c r="M26" s="328"/>
      <c r="N26" s="328"/>
    </row>
    <row r="27" spans="1:14">
      <c r="C27" s="37" t="s">
        <v>1456</v>
      </c>
      <c r="F27" s="429">
        <f>(80000-I15)*F26</f>
        <v>60000</v>
      </c>
      <c r="M27" s="328"/>
      <c r="N27" s="328"/>
    </row>
    <row r="28" spans="1:14">
      <c r="C28" s="37" t="s">
        <v>1455</v>
      </c>
      <c r="F28" s="429">
        <f>80000-F27</f>
        <v>20000</v>
      </c>
      <c r="M28" s="328"/>
      <c r="N28" s="328"/>
    </row>
    <row r="30" spans="1:14">
      <c r="A30" s="577" t="s">
        <v>9</v>
      </c>
      <c r="B30" s="22" t="s">
        <v>1454</v>
      </c>
      <c r="C30" s="22"/>
      <c r="D30" s="22"/>
      <c r="E30" s="22"/>
      <c r="F30" s="22"/>
      <c r="G30" s="22"/>
      <c r="H30" s="22"/>
      <c r="I30" s="22"/>
      <c r="J30" s="22"/>
      <c r="K30" s="22"/>
      <c r="L30" s="22"/>
    </row>
    <row r="31" spans="1:14">
      <c r="A31" s="2"/>
      <c r="B31" s="2"/>
      <c r="C31" s="2"/>
      <c r="D31" s="2"/>
      <c r="E31" s="2"/>
      <c r="F31" s="2"/>
      <c r="G31" s="22"/>
      <c r="H31" s="22"/>
      <c r="I31" s="22"/>
      <c r="J31" s="22"/>
      <c r="K31" s="22"/>
      <c r="L31" s="22"/>
    </row>
    <row r="32" spans="1:14">
      <c r="A32" s="37"/>
      <c r="B32" s="37"/>
      <c r="C32" s="37"/>
      <c r="D32" s="37"/>
      <c r="E32" s="37"/>
      <c r="F32" s="37"/>
      <c r="G32" s="37"/>
      <c r="H32" s="37"/>
      <c r="I32" s="37"/>
      <c r="J32" s="37"/>
      <c r="K32" s="37"/>
      <c r="L32" s="37"/>
    </row>
    <row r="33" spans="1:13">
      <c r="A33" s="37" t="s">
        <v>650</v>
      </c>
      <c r="B33" s="37"/>
      <c r="C33" s="37"/>
      <c r="D33" s="37"/>
      <c r="E33" s="37"/>
      <c r="F33" s="37"/>
      <c r="G33" s="37"/>
      <c r="H33" s="37"/>
      <c r="I33" s="37"/>
      <c r="J33" s="37"/>
      <c r="K33" s="37"/>
      <c r="L33" s="37"/>
    </row>
    <row r="34" spans="1:13">
      <c r="A34" s="37"/>
      <c r="B34" s="37"/>
      <c r="C34" s="37"/>
      <c r="D34" s="37"/>
      <c r="E34" s="37"/>
      <c r="F34" s="37"/>
      <c r="G34" s="37"/>
      <c r="H34" s="37"/>
      <c r="I34" s="37"/>
      <c r="J34" s="37"/>
      <c r="K34" s="37"/>
      <c r="L34" s="37"/>
    </row>
    <row r="35" spans="1:13">
      <c r="A35" s="37"/>
      <c r="B35" s="37" t="s">
        <v>1433</v>
      </c>
      <c r="C35" s="37"/>
      <c r="D35" s="37"/>
      <c r="E35" s="37"/>
      <c r="F35" s="37"/>
      <c r="G35" s="37"/>
      <c r="H35" s="37"/>
      <c r="I35" s="37"/>
      <c r="J35" s="37"/>
      <c r="K35" s="37"/>
      <c r="L35" s="37"/>
    </row>
    <row r="36" spans="1:13">
      <c r="B36" s="1" t="s">
        <v>1453</v>
      </c>
      <c r="M36" s="37"/>
    </row>
    <row r="37" spans="1:13">
      <c r="B37" s="1" t="s">
        <v>1452</v>
      </c>
      <c r="M37" s="37"/>
    </row>
    <row r="38" spans="1:13">
      <c r="B38" s="1" t="s">
        <v>1451</v>
      </c>
      <c r="M38" s="37"/>
    </row>
    <row r="39" spans="1:13">
      <c r="B39" s="1" t="s">
        <v>1450</v>
      </c>
    </row>
    <row r="41" spans="1:13">
      <c r="A41" s="2"/>
      <c r="B41" s="2"/>
      <c r="C41" s="2"/>
      <c r="D41" s="2"/>
      <c r="E41" s="2"/>
      <c r="F41" s="2"/>
      <c r="G41" s="22"/>
      <c r="H41" s="22"/>
      <c r="I41" s="22"/>
      <c r="J41" s="22"/>
      <c r="K41" s="22"/>
      <c r="L41" s="22"/>
    </row>
    <row r="42" spans="1:13">
      <c r="A42" s="22" t="s">
        <v>1449</v>
      </c>
      <c r="B42" s="2"/>
      <c r="C42" s="2"/>
      <c r="D42" s="2"/>
      <c r="E42" s="2"/>
      <c r="F42" s="653">
        <v>450000</v>
      </c>
      <c r="G42" s="22" t="s">
        <v>1448</v>
      </c>
      <c r="H42" s="22"/>
      <c r="I42" s="22"/>
      <c r="J42" s="653">
        <v>800000</v>
      </c>
      <c r="K42" s="22"/>
      <c r="L42" s="22"/>
    </row>
    <row r="43" spans="1:13">
      <c r="A43" s="22" t="s">
        <v>1447</v>
      </c>
      <c r="B43" s="2"/>
      <c r="C43" s="2"/>
      <c r="D43" s="2"/>
      <c r="E43" s="2"/>
      <c r="F43" s="2"/>
      <c r="G43" s="22"/>
      <c r="H43" s="22"/>
      <c r="I43" s="22"/>
      <c r="J43" s="22"/>
      <c r="K43" s="22"/>
      <c r="L43" s="22"/>
    </row>
    <row r="44" spans="1:13">
      <c r="A44" s="2"/>
      <c r="B44" s="2"/>
      <c r="C44" s="2"/>
      <c r="D44" s="2"/>
      <c r="E44" s="2"/>
      <c r="F44" s="2"/>
      <c r="G44" s="22"/>
      <c r="H44" s="22"/>
      <c r="I44" s="22"/>
      <c r="J44" s="22"/>
      <c r="K44" s="22"/>
      <c r="L44" s="22"/>
    </row>
    <row r="45" spans="1:13">
      <c r="A45" s="2"/>
      <c r="B45" s="2"/>
      <c r="C45" s="2"/>
      <c r="D45" s="2"/>
      <c r="E45" s="2"/>
      <c r="F45" s="2"/>
      <c r="G45" s="2"/>
      <c r="H45" s="2"/>
      <c r="I45" s="2"/>
      <c r="J45" s="2"/>
      <c r="K45" s="2"/>
      <c r="L45" s="2"/>
    </row>
    <row r="46" spans="1:13">
      <c r="A46" s="577" t="s">
        <v>7</v>
      </c>
      <c r="B46" s="22" t="s">
        <v>1446</v>
      </c>
      <c r="C46" s="22"/>
      <c r="D46" s="22"/>
      <c r="E46" s="22"/>
      <c r="F46" s="22"/>
      <c r="G46" s="22"/>
      <c r="H46" s="22"/>
      <c r="I46" s="22"/>
      <c r="J46" s="22"/>
      <c r="K46" s="22"/>
      <c r="L46" s="22"/>
    </row>
    <row r="47" spans="1:13">
      <c r="A47" s="577"/>
      <c r="B47" s="22"/>
      <c r="C47" s="22"/>
      <c r="D47" s="22"/>
      <c r="E47" s="22"/>
      <c r="F47" s="22"/>
      <c r="G47" s="22"/>
      <c r="H47" s="22"/>
      <c r="I47" s="22"/>
      <c r="J47" s="22"/>
      <c r="K47" s="22"/>
      <c r="L47" s="22"/>
    </row>
    <row r="48" spans="1:13">
      <c r="A48" s="577"/>
      <c r="B48" s="376" t="s">
        <v>1445</v>
      </c>
      <c r="C48" s="22"/>
      <c r="D48" s="22"/>
      <c r="E48" s="22"/>
      <c r="F48" s="653">
        <v>200000</v>
      </c>
      <c r="G48" s="319" t="s">
        <v>1442</v>
      </c>
      <c r="H48" s="654">
        <v>0.5</v>
      </c>
      <c r="I48" s="22" t="s">
        <v>1441</v>
      </c>
      <c r="J48" s="22"/>
      <c r="K48" s="22"/>
      <c r="L48" s="22"/>
    </row>
    <row r="49" spans="1:12">
      <c r="A49" s="577"/>
      <c r="B49" s="376"/>
      <c r="C49" s="22"/>
      <c r="D49" s="22"/>
      <c r="E49" s="22"/>
      <c r="F49" s="22"/>
      <c r="G49" s="22"/>
      <c r="H49" s="22"/>
      <c r="I49" s="22"/>
      <c r="J49" s="22"/>
      <c r="K49" s="22"/>
      <c r="L49" s="22"/>
    </row>
    <row r="50" spans="1:12">
      <c r="A50" s="577"/>
      <c r="B50" s="376" t="s">
        <v>1444</v>
      </c>
      <c r="C50" s="22"/>
      <c r="D50" s="22"/>
      <c r="E50" s="22"/>
      <c r="F50" s="653">
        <v>500000</v>
      </c>
      <c r="G50" s="319" t="s">
        <v>1442</v>
      </c>
      <c r="H50" s="654">
        <v>0.8</v>
      </c>
      <c r="I50" s="22" t="s">
        <v>1441</v>
      </c>
      <c r="J50" s="22"/>
      <c r="K50" s="22"/>
      <c r="L50" s="22"/>
    </row>
    <row r="51" spans="1:12">
      <c r="A51" s="577"/>
      <c r="B51" s="376"/>
      <c r="C51" s="22"/>
      <c r="D51" s="22"/>
      <c r="E51" s="22"/>
      <c r="F51" s="22"/>
      <c r="G51" s="22"/>
      <c r="H51" s="22"/>
      <c r="I51" s="22"/>
      <c r="J51" s="22"/>
      <c r="K51" s="22"/>
      <c r="L51" s="22"/>
    </row>
    <row r="52" spans="1:12">
      <c r="A52" s="577"/>
      <c r="B52" s="376" t="s">
        <v>1443</v>
      </c>
      <c r="C52" s="22"/>
      <c r="D52" s="22"/>
      <c r="E52" s="22"/>
      <c r="F52" s="653">
        <v>750000</v>
      </c>
      <c r="G52" s="319" t="s">
        <v>1442</v>
      </c>
      <c r="H52" s="654">
        <v>0.9</v>
      </c>
      <c r="I52" s="22" t="s">
        <v>1441</v>
      </c>
      <c r="J52" s="22"/>
      <c r="K52" s="22"/>
      <c r="L52" s="22"/>
    </row>
    <row r="53" spans="1:12">
      <c r="A53" s="2"/>
      <c r="B53" s="2"/>
      <c r="C53" s="2"/>
      <c r="D53" s="2"/>
      <c r="E53" s="2"/>
      <c r="F53" s="2"/>
      <c r="G53" s="22"/>
      <c r="H53" s="22"/>
      <c r="I53" s="22"/>
      <c r="J53" s="22"/>
      <c r="K53" s="22"/>
      <c r="L53" s="22"/>
    </row>
    <row r="54" spans="1:12">
      <c r="A54" s="37"/>
      <c r="B54" s="37"/>
      <c r="C54" s="37"/>
      <c r="D54" s="37"/>
      <c r="E54" s="37"/>
      <c r="F54" s="37"/>
      <c r="G54" s="37"/>
      <c r="H54" s="37"/>
      <c r="I54" s="37"/>
      <c r="J54" s="37"/>
      <c r="K54" s="37"/>
      <c r="L54" s="37"/>
    </row>
    <row r="55" spans="1:12">
      <c r="A55" s="37" t="s">
        <v>650</v>
      </c>
      <c r="B55" s="37"/>
      <c r="C55" s="37"/>
      <c r="D55" s="37"/>
      <c r="E55" s="37"/>
      <c r="F55" s="37"/>
      <c r="G55" s="37"/>
      <c r="H55" s="37"/>
      <c r="I55" s="37"/>
      <c r="J55" s="37"/>
      <c r="K55" s="37"/>
      <c r="L55" s="37"/>
    </row>
    <row r="56" spans="1:12" ht="46.8">
      <c r="A56" s="37"/>
      <c r="B56" s="576" t="s">
        <v>1440</v>
      </c>
      <c r="C56" s="565" t="s">
        <v>1439</v>
      </c>
      <c r="D56" s="565" t="s">
        <v>1438</v>
      </c>
      <c r="E56" s="565" t="s">
        <v>1437</v>
      </c>
      <c r="F56" s="565" t="s">
        <v>1436</v>
      </c>
      <c r="G56" s="565" t="s">
        <v>1435</v>
      </c>
      <c r="H56" s="37"/>
      <c r="I56" s="37"/>
      <c r="J56" s="37"/>
      <c r="K56" s="37"/>
      <c r="L56" s="37"/>
    </row>
    <row r="57" spans="1:12">
      <c r="A57" s="37"/>
      <c r="B57" s="327" t="s">
        <v>350</v>
      </c>
      <c r="C57" s="634">
        <f>F48</f>
        <v>200000</v>
      </c>
      <c r="D57" s="939">
        <f>H48</f>
        <v>0.5</v>
      </c>
      <c r="E57" s="634">
        <f>D57*$J$42</f>
        <v>400000</v>
      </c>
      <c r="F57" s="969">
        <f>MAX((1-C57/E57),0)</f>
        <v>0.5</v>
      </c>
      <c r="G57" s="634">
        <f>MIN((1-F57)*$F$42,C57)</f>
        <v>200000</v>
      </c>
      <c r="H57" s="37"/>
      <c r="I57" s="37"/>
      <c r="J57" s="37"/>
      <c r="K57" s="37"/>
      <c r="L57" s="37"/>
    </row>
    <row r="58" spans="1:12">
      <c r="B58" s="327" t="s">
        <v>344</v>
      </c>
      <c r="C58" s="634">
        <f>F50</f>
        <v>500000</v>
      </c>
      <c r="D58" s="939">
        <f>H50</f>
        <v>0.8</v>
      </c>
      <c r="E58" s="634">
        <f>D58*$J$42</f>
        <v>640000</v>
      </c>
      <c r="F58" s="969">
        <f>MAX((1-C58/E58),0)</f>
        <v>0.21875</v>
      </c>
      <c r="G58" s="634">
        <f>MIN((1-F58)*$F$42,C58)</f>
        <v>351562.5</v>
      </c>
      <c r="H58" s="37"/>
    </row>
    <row r="59" spans="1:12">
      <c r="B59" s="327" t="s">
        <v>974</v>
      </c>
      <c r="C59" s="634">
        <f>F52</f>
        <v>750000</v>
      </c>
      <c r="D59" s="939">
        <f>H52</f>
        <v>0.9</v>
      </c>
      <c r="E59" s="634">
        <f>D59*$J$42</f>
        <v>720000</v>
      </c>
      <c r="F59" s="969">
        <f>MAX((1-C59/E59),0)</f>
        <v>0</v>
      </c>
      <c r="G59" s="634">
        <f>MIN((1-F59)*$F$42,C59)</f>
        <v>450000</v>
      </c>
      <c r="H59" s="37"/>
    </row>
    <row r="61" spans="1:12">
      <c r="A61" s="577" t="s">
        <v>4</v>
      </c>
      <c r="B61" s="22" t="s">
        <v>1434</v>
      </c>
      <c r="C61" s="22"/>
      <c r="D61" s="22"/>
      <c r="E61" s="22"/>
      <c r="F61" s="22"/>
      <c r="G61" s="22"/>
      <c r="H61" s="22"/>
      <c r="I61" s="22"/>
      <c r="J61" s="22"/>
      <c r="K61" s="22"/>
      <c r="L61" s="22"/>
    </row>
    <row r="62" spans="1:12">
      <c r="A62" s="2"/>
      <c r="B62" s="2"/>
      <c r="C62" s="2"/>
      <c r="D62" s="2"/>
      <c r="E62" s="2"/>
      <c r="F62" s="2"/>
      <c r="G62" s="22"/>
      <c r="H62" s="22"/>
      <c r="I62" s="22"/>
      <c r="J62" s="22"/>
      <c r="K62" s="22"/>
      <c r="L62" s="22"/>
    </row>
    <row r="63" spans="1:12">
      <c r="A63" s="37"/>
      <c r="B63" s="37"/>
      <c r="C63" s="37"/>
      <c r="D63" s="37"/>
      <c r="E63" s="37"/>
      <c r="F63" s="37"/>
      <c r="G63" s="37"/>
      <c r="H63" s="37"/>
      <c r="I63" s="37"/>
      <c r="J63" s="37"/>
      <c r="K63" s="37"/>
      <c r="L63" s="37"/>
    </row>
    <row r="64" spans="1:12">
      <c r="A64" s="37" t="s">
        <v>650</v>
      </c>
      <c r="B64" s="37"/>
      <c r="C64" s="37"/>
      <c r="D64" s="37"/>
      <c r="E64" s="37"/>
      <c r="F64" s="37"/>
      <c r="G64" s="37"/>
      <c r="H64" s="37"/>
      <c r="I64" s="37"/>
      <c r="J64" s="37"/>
      <c r="K64" s="37"/>
      <c r="L64" s="37"/>
    </row>
    <row r="65" spans="1:13">
      <c r="A65" s="37"/>
      <c r="B65" s="37"/>
      <c r="C65" s="37"/>
      <c r="D65" s="37"/>
      <c r="E65" s="37"/>
      <c r="F65" s="37"/>
      <c r="G65" s="37"/>
      <c r="H65" s="37"/>
      <c r="I65" s="37"/>
      <c r="J65" s="37"/>
      <c r="K65" s="37"/>
      <c r="L65" s="37"/>
    </row>
    <row r="66" spans="1:13">
      <c r="A66" s="37"/>
      <c r="B66" s="37" t="s">
        <v>1433</v>
      </c>
      <c r="C66" s="37"/>
      <c r="D66" s="37"/>
      <c r="E66" s="37"/>
      <c r="F66" s="37"/>
      <c r="G66" s="37"/>
      <c r="H66" s="37"/>
      <c r="I66" s="37"/>
      <c r="J66" s="37"/>
      <c r="K66" s="37"/>
      <c r="L66" s="37"/>
    </row>
    <row r="67" spans="1:13">
      <c r="B67" s="1" t="s">
        <v>1432</v>
      </c>
    </row>
    <row r="68" spans="1:13">
      <c r="B68" s="1" t="s">
        <v>1431</v>
      </c>
      <c r="M68" s="37"/>
    </row>
    <row r="69" spans="1:13">
      <c r="M69" s="37"/>
    </row>
  </sheetData>
  <mergeCells count="1">
    <mergeCell ref="C17:K18"/>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B60FF-BEB3-4590-9891-9F4AF8EE7CD4}">
  <dimension ref="A1:BV587"/>
  <sheetViews>
    <sheetView zoomScaleNormal="100" workbookViewId="0"/>
  </sheetViews>
  <sheetFormatPr defaultColWidth="9.109375" defaultRowHeight="15.6"/>
  <cols>
    <col min="1" max="11" width="12.109375" style="1" customWidth="1"/>
    <col min="12" max="12" width="12.109375" customWidth="1"/>
    <col min="75" max="16384" width="9.109375" style="1"/>
  </cols>
  <sheetData>
    <row r="1" spans="1:12" ht="15.75" customHeight="1">
      <c r="A1" s="23" t="s">
        <v>42</v>
      </c>
      <c r="B1" s="22"/>
      <c r="C1" s="5" t="s">
        <v>38</v>
      </c>
      <c r="D1" s="22"/>
      <c r="E1" s="22"/>
      <c r="F1" s="22"/>
      <c r="G1" s="22"/>
      <c r="H1" s="22"/>
      <c r="I1" s="22"/>
      <c r="J1" s="22"/>
      <c r="K1" s="2"/>
      <c r="L1" s="2"/>
    </row>
    <row r="2" spans="1:12" ht="15.75" customHeight="1">
      <c r="A2" s="23"/>
      <c r="B2" s="22"/>
      <c r="C2" s="19"/>
      <c r="D2" s="22"/>
      <c r="E2" s="22"/>
      <c r="F2" s="22"/>
      <c r="G2" s="22"/>
      <c r="H2" s="22"/>
      <c r="I2" s="22"/>
      <c r="J2" s="22"/>
      <c r="K2" s="2"/>
      <c r="L2" s="2"/>
    </row>
    <row r="3" spans="1:12" ht="15.75" customHeight="1">
      <c r="A3" s="1657" t="s">
        <v>89</v>
      </c>
      <c r="B3" s="1658"/>
      <c r="C3" s="1658"/>
      <c r="D3" s="1658"/>
      <c r="E3" s="1658"/>
      <c r="F3" s="1658"/>
      <c r="G3" s="1658"/>
      <c r="H3" s="1658"/>
      <c r="I3" s="22"/>
      <c r="J3" s="22"/>
      <c r="K3" s="2"/>
      <c r="L3" s="2"/>
    </row>
    <row r="4" spans="1:12" ht="15.75" customHeight="1">
      <c r="A4" s="3"/>
      <c r="B4" s="3"/>
      <c r="C4" s="3"/>
      <c r="D4" s="3"/>
      <c r="E4" s="3"/>
      <c r="F4" s="3"/>
      <c r="G4" s="3"/>
      <c r="H4" s="3"/>
      <c r="I4" s="22"/>
      <c r="J4" s="22"/>
      <c r="K4" s="2"/>
      <c r="L4" s="2"/>
    </row>
    <row r="5" spans="1:12" ht="15.75" customHeight="1">
      <c r="A5" s="5" t="s">
        <v>36</v>
      </c>
      <c r="B5" s="3"/>
      <c r="C5" s="3"/>
      <c r="D5" s="3"/>
      <c r="E5" s="3"/>
      <c r="F5" s="3"/>
      <c r="G5" s="3"/>
      <c r="H5" s="4"/>
      <c r="I5" s="1659" t="s">
        <v>88</v>
      </c>
      <c r="J5" s="1659"/>
      <c r="K5" s="1659"/>
      <c r="L5" s="2"/>
    </row>
    <row r="6" spans="1:12" ht="15.75" customHeight="1">
      <c r="A6" s="3"/>
      <c r="B6" s="3"/>
      <c r="C6" s="3"/>
      <c r="D6" s="3"/>
      <c r="E6" s="3"/>
      <c r="F6" s="3"/>
      <c r="G6" s="3"/>
      <c r="H6" s="85" t="s">
        <v>87</v>
      </c>
      <c r="I6" s="1660" t="s">
        <v>86</v>
      </c>
      <c r="J6" s="1662" t="s">
        <v>20</v>
      </c>
      <c r="K6" s="1662" t="s">
        <v>85</v>
      </c>
      <c r="L6" s="2"/>
    </row>
    <row r="7" spans="1:12" ht="47.25" customHeight="1">
      <c r="A7" s="83" t="s">
        <v>31</v>
      </c>
      <c r="B7" s="83" t="s">
        <v>30</v>
      </c>
      <c r="C7" s="83" t="s">
        <v>29</v>
      </c>
      <c r="D7" s="83" t="s">
        <v>28</v>
      </c>
      <c r="E7" s="84" t="s">
        <v>27</v>
      </c>
      <c r="F7" s="83" t="s">
        <v>26</v>
      </c>
      <c r="G7" s="83" t="s">
        <v>25</v>
      </c>
      <c r="H7" s="82" t="s">
        <v>84</v>
      </c>
      <c r="I7" s="1661"/>
      <c r="J7" s="1662"/>
      <c r="K7" s="1662"/>
      <c r="L7" s="2"/>
    </row>
    <row r="8" spans="1:12" ht="15.75" customHeight="1">
      <c r="A8" s="11">
        <v>2017</v>
      </c>
      <c r="B8" s="13">
        <v>10000</v>
      </c>
      <c r="C8" s="11">
        <v>0</v>
      </c>
      <c r="D8" s="11">
        <v>12</v>
      </c>
      <c r="E8" s="12">
        <v>2500</v>
      </c>
      <c r="F8" s="11">
        <v>48</v>
      </c>
      <c r="G8" s="10">
        <v>5000</v>
      </c>
      <c r="H8" s="81">
        <f t="shared" ref="H8:H17" si="0">(E8-I8)^2/I8</f>
        <v>40.054772949444583</v>
      </c>
      <c r="I8" s="80">
        <f t="shared" ref="I8:I17" si="1">B8*$B$23*(K8-J8)</f>
        <v>2837.1047091936757</v>
      </c>
      <c r="J8" s="79">
        <v>0</v>
      </c>
      <c r="K8" s="79">
        <f t="shared" ref="K8:K17" si="2">1-EXP(-((D8-6)/$B$24))</f>
        <v>0.52306502750620865</v>
      </c>
      <c r="L8" s="2"/>
    </row>
    <row r="9" spans="1:12" ht="15.75" customHeight="1">
      <c r="A9" s="11">
        <v>2017</v>
      </c>
      <c r="B9" s="13">
        <v>10000</v>
      </c>
      <c r="C9" s="11">
        <v>12</v>
      </c>
      <c r="D9" s="11">
        <v>24</v>
      </c>
      <c r="E9" s="12">
        <v>1800</v>
      </c>
      <c r="F9" s="11">
        <v>48</v>
      </c>
      <c r="G9" s="10">
        <v>5000</v>
      </c>
      <c r="H9" s="81">
        <f t="shared" si="0"/>
        <v>19.708750540100116</v>
      </c>
      <c r="I9" s="80">
        <f t="shared" si="1"/>
        <v>1998.4620625050702</v>
      </c>
      <c r="J9" s="79">
        <f>1-EXP(-((C9-6)/$B$24))</f>
        <v>0.52306502750620865</v>
      </c>
      <c r="K9" s="79">
        <f t="shared" si="2"/>
        <v>0.89151304787956231</v>
      </c>
      <c r="L9" s="2"/>
    </row>
    <row r="10" spans="1:12" ht="15.75" customHeight="1">
      <c r="A10" s="11">
        <v>2017</v>
      </c>
      <c r="B10" s="13">
        <v>10000</v>
      </c>
      <c r="C10" s="11">
        <v>24</v>
      </c>
      <c r="D10" s="11">
        <v>36</v>
      </c>
      <c r="E10" s="12">
        <v>500</v>
      </c>
      <c r="F10" s="11">
        <v>48</v>
      </c>
      <c r="G10" s="10">
        <v>5000</v>
      </c>
      <c r="H10" s="81">
        <f t="shared" si="0"/>
        <v>4.5373417172759583</v>
      </c>
      <c r="I10" s="80">
        <f t="shared" si="1"/>
        <v>454.5841059963808</v>
      </c>
      <c r="J10" s="79">
        <f>1-EXP(-((C10-6)/$B$24))</f>
        <v>0.89151304787956231</v>
      </c>
      <c r="K10" s="79">
        <f t="shared" si="2"/>
        <v>0.97532280193494225</v>
      </c>
      <c r="L10" s="2"/>
    </row>
    <row r="11" spans="1:12" ht="15.75" customHeight="1">
      <c r="A11" s="11">
        <v>2017</v>
      </c>
      <c r="B11" s="13">
        <v>10000</v>
      </c>
      <c r="C11" s="11">
        <v>36</v>
      </c>
      <c r="D11" s="11">
        <v>48</v>
      </c>
      <c r="E11" s="12">
        <v>200</v>
      </c>
      <c r="F11" s="11">
        <v>48</v>
      </c>
      <c r="G11" s="10">
        <v>5000</v>
      </c>
      <c r="H11" s="81">
        <f t="shared" si="0"/>
        <v>90.239332911510729</v>
      </c>
      <c r="I11" s="80">
        <f t="shared" si="1"/>
        <v>103.40286828637545</v>
      </c>
      <c r="J11" s="79">
        <f>1-EXP(-((C11-6)/$B$24))</f>
        <v>0.97532280193494225</v>
      </c>
      <c r="K11" s="79">
        <f t="shared" si="2"/>
        <v>0.99438675257771059</v>
      </c>
      <c r="L11" s="2"/>
    </row>
    <row r="12" spans="1:12" ht="15.75" customHeight="1">
      <c r="A12" s="11">
        <v>2018</v>
      </c>
      <c r="B12" s="13">
        <v>12000</v>
      </c>
      <c r="C12" s="11">
        <v>0</v>
      </c>
      <c r="D12" s="11">
        <v>12</v>
      </c>
      <c r="E12" s="12">
        <v>4100</v>
      </c>
      <c r="F12" s="11">
        <v>36</v>
      </c>
      <c r="G12" s="10">
        <v>7000</v>
      </c>
      <c r="H12" s="81">
        <f t="shared" si="0"/>
        <v>142.07106059700735</v>
      </c>
      <c r="I12" s="80">
        <f t="shared" si="1"/>
        <v>3404.5256510324111</v>
      </c>
      <c r="J12" s="79">
        <v>0</v>
      </c>
      <c r="K12" s="79">
        <f t="shared" si="2"/>
        <v>0.52306502750620865</v>
      </c>
      <c r="L12" s="2"/>
    </row>
    <row r="13" spans="1:12" ht="15.75" customHeight="1">
      <c r="A13" s="11">
        <v>2018</v>
      </c>
      <c r="B13" s="13">
        <v>12000</v>
      </c>
      <c r="C13" s="11">
        <v>12</v>
      </c>
      <c r="D13" s="11">
        <v>24</v>
      </c>
      <c r="E13" s="12">
        <v>2000</v>
      </c>
      <c r="F13" s="11">
        <v>36</v>
      </c>
      <c r="G13" s="10">
        <v>7000</v>
      </c>
      <c r="H13" s="81">
        <f t="shared" si="0"/>
        <v>66.103742531835223</v>
      </c>
      <c r="I13" s="80">
        <f t="shared" si="1"/>
        <v>2398.1544750060843</v>
      </c>
      <c r="J13" s="79">
        <f>1-EXP(-((C13-6)/$B$24))</f>
        <v>0.52306502750620865</v>
      </c>
      <c r="K13" s="79">
        <f t="shared" si="2"/>
        <v>0.89151304787956231</v>
      </c>
      <c r="L13" s="2"/>
    </row>
    <row r="14" spans="1:12" ht="15.75" customHeight="1">
      <c r="A14" s="11">
        <v>2018</v>
      </c>
      <c r="B14" s="13">
        <v>12000</v>
      </c>
      <c r="C14" s="11">
        <v>24</v>
      </c>
      <c r="D14" s="11">
        <v>36</v>
      </c>
      <c r="E14" s="12">
        <v>900</v>
      </c>
      <c r="F14" s="11">
        <v>36</v>
      </c>
      <c r="G14" s="10">
        <v>7000</v>
      </c>
      <c r="H14" s="81">
        <f t="shared" si="0"/>
        <v>230.37466364207398</v>
      </c>
      <c r="I14" s="80">
        <f t="shared" si="1"/>
        <v>545.50092719565691</v>
      </c>
      <c r="J14" s="79">
        <f>1-EXP(-((C14-6)/$B$24))</f>
        <v>0.89151304787956231</v>
      </c>
      <c r="K14" s="79">
        <f t="shared" si="2"/>
        <v>0.97532280193494225</v>
      </c>
      <c r="L14" s="2"/>
    </row>
    <row r="15" spans="1:12" ht="15.75" customHeight="1">
      <c r="A15" s="11">
        <v>2019</v>
      </c>
      <c r="B15" s="13">
        <v>15000</v>
      </c>
      <c r="C15" s="11">
        <v>0</v>
      </c>
      <c r="D15" s="11">
        <v>12</v>
      </c>
      <c r="E15" s="12">
        <v>4600</v>
      </c>
      <c r="F15" s="11">
        <v>24</v>
      </c>
      <c r="G15" s="10">
        <v>6800</v>
      </c>
      <c r="H15" s="81">
        <f t="shared" si="0"/>
        <v>27.862221024867655</v>
      </c>
      <c r="I15" s="80">
        <f t="shared" si="1"/>
        <v>4255.6570637905133</v>
      </c>
      <c r="J15" s="79">
        <v>0</v>
      </c>
      <c r="K15" s="79">
        <f t="shared" si="2"/>
        <v>0.52306502750620865</v>
      </c>
      <c r="L15" s="2"/>
    </row>
    <row r="16" spans="1:12" ht="15.75" customHeight="1">
      <c r="A16" s="11">
        <v>2019</v>
      </c>
      <c r="B16" s="13">
        <v>15000</v>
      </c>
      <c r="C16" s="11">
        <v>12</v>
      </c>
      <c r="D16" s="11">
        <v>24</v>
      </c>
      <c r="E16" s="12">
        <v>2200</v>
      </c>
      <c r="F16" s="11">
        <v>24</v>
      </c>
      <c r="G16" s="10">
        <v>6800</v>
      </c>
      <c r="H16" s="81">
        <f t="shared" si="0"/>
        <v>212.26798472253222</v>
      </c>
      <c r="I16" s="80">
        <f t="shared" si="1"/>
        <v>2997.6930937576053</v>
      </c>
      <c r="J16" s="79">
        <f>1-EXP(-((C16-6)/$B$24))</f>
        <v>0.52306502750620865</v>
      </c>
      <c r="K16" s="79">
        <f t="shared" si="2"/>
        <v>0.89151304787956231</v>
      </c>
      <c r="L16" s="2"/>
    </row>
    <row r="17" spans="1:12" ht="15.75" customHeight="1">
      <c r="A17" s="11">
        <v>2020</v>
      </c>
      <c r="B17" s="13">
        <v>18000</v>
      </c>
      <c r="C17" s="11">
        <v>0</v>
      </c>
      <c r="D17" s="11">
        <v>12</v>
      </c>
      <c r="E17" s="12">
        <v>5300</v>
      </c>
      <c r="F17" s="11">
        <v>12</v>
      </c>
      <c r="G17" s="10">
        <v>5300</v>
      </c>
      <c r="H17" s="81">
        <f t="shared" si="0"/>
        <v>7.3100135174648955</v>
      </c>
      <c r="I17" s="80">
        <f t="shared" si="1"/>
        <v>5106.7884765486169</v>
      </c>
      <c r="J17" s="79">
        <v>0</v>
      </c>
      <c r="K17" s="79">
        <f t="shared" si="2"/>
        <v>0.52306502750620865</v>
      </c>
      <c r="L17" s="2"/>
    </row>
    <row r="18" spans="1:12" ht="15.75" customHeight="1">
      <c r="A18" s="3"/>
      <c r="B18" s="3"/>
      <c r="C18" s="3"/>
      <c r="D18" s="3"/>
      <c r="E18" s="3"/>
      <c r="F18" s="3"/>
      <c r="G18" s="3"/>
      <c r="H18" s="78">
        <f>SUM(H8:H17)/8</f>
        <v>105.06623551926408</v>
      </c>
      <c r="I18" s="77"/>
      <c r="J18" s="76"/>
      <c r="K18" s="76"/>
      <c r="L18" s="2"/>
    </row>
    <row r="19" spans="1:12" ht="15.75" customHeight="1">
      <c r="A19" s="3" t="s">
        <v>83</v>
      </c>
      <c r="B19" s="3"/>
      <c r="C19" s="3"/>
      <c r="D19" s="3"/>
      <c r="E19" s="3"/>
      <c r="F19" s="3"/>
      <c r="G19" s="3"/>
      <c r="H19" s="3"/>
      <c r="I19" s="3"/>
      <c r="J19" s="75"/>
      <c r="K19" s="75"/>
      <c r="L19" s="2"/>
    </row>
    <row r="20" spans="1:12" ht="15.75" customHeight="1">
      <c r="A20" s="3" t="s">
        <v>82</v>
      </c>
      <c r="B20" s="3"/>
      <c r="C20" s="3"/>
      <c r="D20" s="3"/>
      <c r="E20" s="3"/>
      <c r="F20" s="3"/>
      <c r="G20" s="3"/>
      <c r="H20" s="3"/>
      <c r="I20" s="3"/>
      <c r="J20" s="74"/>
      <c r="K20" s="74"/>
      <c r="L20" s="2"/>
    </row>
    <row r="21" spans="1:12" ht="15.75" customHeight="1">
      <c r="A21" s="3"/>
      <c r="B21" s="49"/>
      <c r="C21" s="72"/>
      <c r="D21" s="3"/>
      <c r="E21" s="3"/>
      <c r="F21" s="3"/>
      <c r="G21" s="3"/>
      <c r="H21" s="3"/>
      <c r="I21" s="3"/>
      <c r="J21" s="3"/>
      <c r="K21" s="73"/>
      <c r="L21" s="2"/>
    </row>
    <row r="22" spans="1:12" ht="15.75" customHeight="1">
      <c r="A22" s="3" t="s">
        <v>81</v>
      </c>
      <c r="B22" s="49"/>
      <c r="C22" s="72"/>
      <c r="D22" s="3"/>
      <c r="E22" s="3"/>
      <c r="F22" s="3"/>
      <c r="G22" s="3"/>
      <c r="H22" s="3"/>
      <c r="I22" s="3"/>
      <c r="J22" s="3"/>
      <c r="K22" s="2"/>
      <c r="L22" s="2"/>
    </row>
    <row r="23" spans="1:12" ht="15.75" customHeight="1">
      <c r="A23" s="62" t="s">
        <v>10</v>
      </c>
      <c r="B23" s="6">
        <v>0.54239999999999999</v>
      </c>
      <c r="C23" s="72"/>
      <c r="D23" s="3"/>
      <c r="E23" s="3"/>
      <c r="F23" s="3"/>
      <c r="G23" s="3"/>
      <c r="H23" s="3"/>
      <c r="I23" s="3"/>
      <c r="J23" s="3"/>
      <c r="K23" s="2"/>
      <c r="L23" s="2"/>
    </row>
    <row r="24" spans="1:12" ht="15.75" customHeight="1">
      <c r="A24" s="62" t="s">
        <v>12</v>
      </c>
      <c r="B24" s="6">
        <v>8.1039999999999992</v>
      </c>
      <c r="C24" s="3"/>
      <c r="D24" s="3"/>
      <c r="E24" s="3"/>
      <c r="F24" s="3"/>
      <c r="G24" s="3"/>
      <c r="H24" s="3"/>
      <c r="I24" s="3"/>
      <c r="J24" s="3"/>
      <c r="K24" s="2"/>
      <c r="L24" s="2"/>
    </row>
    <row r="25" spans="1:12" ht="15.75" customHeight="1">
      <c r="A25" s="3"/>
      <c r="B25" s="3"/>
      <c r="C25" s="3"/>
      <c r="D25" s="3"/>
      <c r="E25" s="3"/>
      <c r="F25" s="3"/>
      <c r="G25" s="3"/>
      <c r="H25" s="3"/>
      <c r="I25" s="3"/>
      <c r="J25" s="3"/>
      <c r="K25" s="2"/>
      <c r="L25" s="2"/>
    </row>
    <row r="26" spans="1:12" ht="15.75" customHeight="1">
      <c r="A26" s="71" t="s">
        <v>80</v>
      </c>
      <c r="B26" s="47" t="s">
        <v>79</v>
      </c>
      <c r="C26" s="3"/>
      <c r="D26" s="3"/>
      <c r="E26" s="3"/>
      <c r="F26" s="3"/>
      <c r="G26" s="3"/>
      <c r="H26" s="3"/>
      <c r="I26" s="3"/>
      <c r="J26" s="3"/>
      <c r="K26" s="2"/>
      <c r="L26" s="2"/>
    </row>
    <row r="27" spans="1:12" ht="15.75" customHeight="1">
      <c r="A27" s="2"/>
      <c r="B27" s="70" t="s">
        <v>78</v>
      </c>
      <c r="C27" s="69"/>
      <c r="D27" s="69"/>
      <c r="E27" s="69"/>
      <c r="F27" s="69"/>
      <c r="G27" s="69"/>
      <c r="H27" s="2"/>
      <c r="I27" s="2"/>
      <c r="J27" s="2"/>
      <c r="K27" s="2"/>
      <c r="L27" s="2"/>
    </row>
    <row r="28" spans="1:12" ht="15.75" customHeight="1">
      <c r="A28" s="2"/>
      <c r="B28" s="2"/>
      <c r="C28" s="2"/>
      <c r="D28" s="2"/>
      <c r="E28" s="2"/>
      <c r="F28" s="2"/>
      <c r="G28" s="2"/>
      <c r="H28" s="2"/>
      <c r="I28" s="2"/>
      <c r="J28" s="2"/>
      <c r="K28" s="2"/>
      <c r="L28" s="2"/>
    </row>
    <row r="29" spans="1:12">
      <c r="A29" s="3" t="s">
        <v>9</v>
      </c>
      <c r="B29" s="47" t="s">
        <v>77</v>
      </c>
      <c r="C29" s="3"/>
      <c r="D29" s="3"/>
      <c r="E29" s="3"/>
      <c r="F29" s="3"/>
      <c r="G29" s="3"/>
      <c r="H29" s="3"/>
      <c r="I29" s="3"/>
      <c r="J29" s="3"/>
      <c r="K29" s="2"/>
      <c r="L29" s="2"/>
    </row>
    <row r="30" spans="1:12" ht="15.75" customHeight="1">
      <c r="A30" s="5"/>
      <c r="B30" s="5" t="s">
        <v>64</v>
      </c>
      <c r="C30" s="5"/>
      <c r="D30" s="4"/>
      <c r="E30" s="4"/>
      <c r="F30" s="4"/>
      <c r="G30" s="4"/>
      <c r="H30" s="2"/>
      <c r="I30" s="2"/>
      <c r="J30" s="3"/>
      <c r="K30" s="2"/>
      <c r="L30" s="2"/>
    </row>
    <row r="31" spans="1:12" ht="15.75" customHeight="1">
      <c r="A31"/>
      <c r="B31"/>
      <c r="C31"/>
      <c r="D31"/>
      <c r="E31"/>
      <c r="F31"/>
      <c r="G31"/>
      <c r="H31"/>
      <c r="I31"/>
      <c r="J31"/>
      <c r="K31"/>
    </row>
    <row r="32" spans="1:12" ht="15.75" customHeight="1">
      <c r="A32" s="57" t="s">
        <v>76</v>
      </c>
      <c r="B32" s="68" t="s">
        <v>75</v>
      </c>
      <c r="C32" s="57" t="s">
        <v>74</v>
      </c>
      <c r="D32" s="57" t="s">
        <v>73</v>
      </c>
      <c r="E32"/>
      <c r="F32"/>
      <c r="G32"/>
      <c r="H32"/>
      <c r="I32"/>
      <c r="J32"/>
      <c r="K32"/>
    </row>
    <row r="33" spans="1:12" ht="15.75" customHeight="1">
      <c r="A33" s="57">
        <v>2017</v>
      </c>
      <c r="B33" s="57">
        <f>VLOOKUP(A33,$A$8:$B$17,2)</f>
        <v>10000</v>
      </c>
      <c r="C33" s="67">
        <f>1-K11</f>
        <v>5.6132474222894135E-3</v>
      </c>
      <c r="D33" s="57">
        <f>B33*C33*$B$23</f>
        <v>30.446254018497775</v>
      </c>
      <c r="E33"/>
      <c r="F33"/>
      <c r="G33"/>
      <c r="H33"/>
      <c r="I33"/>
      <c r="J33"/>
      <c r="K33"/>
    </row>
    <row r="34" spans="1:12" ht="15.75" customHeight="1">
      <c r="A34" s="57">
        <v>2018</v>
      </c>
      <c r="B34" s="57">
        <f>VLOOKUP(A34,$A$8:$B$17,2)</f>
        <v>12000</v>
      </c>
      <c r="C34" s="67">
        <f>1-K14</f>
        <v>2.4677198065057748E-2</v>
      </c>
      <c r="D34" s="57">
        <f>B34*C34*$B$23</f>
        <v>160.61894676584785</v>
      </c>
      <c r="E34"/>
      <c r="F34"/>
      <c r="G34"/>
      <c r="H34"/>
      <c r="I34"/>
      <c r="J34"/>
      <c r="K34"/>
    </row>
    <row r="35" spans="1:12" ht="15.75" customHeight="1">
      <c r="A35" s="57">
        <v>2019</v>
      </c>
      <c r="B35" s="57">
        <f>VLOOKUP(A35,$A$8:$B$17,2)</f>
        <v>15000</v>
      </c>
      <c r="C35" s="67">
        <f>1-K16</f>
        <v>0.10848695212043769</v>
      </c>
      <c r="D35" s="57">
        <f>B35*C35*$B$23</f>
        <v>882.649842451881</v>
      </c>
      <c r="E35"/>
      <c r="F35"/>
      <c r="G35"/>
      <c r="H35"/>
      <c r="I35"/>
      <c r="J35"/>
      <c r="K35"/>
    </row>
    <row r="36" spans="1:12" ht="15.75" customHeight="1">
      <c r="A36" s="57">
        <v>2020</v>
      </c>
      <c r="B36" s="57">
        <f>VLOOKUP(A36,$A$8:$B$17,2)</f>
        <v>18000</v>
      </c>
      <c r="C36" s="67">
        <f>1-K17</f>
        <v>0.47693497249379135</v>
      </c>
      <c r="D36" s="57">
        <f>B36*C36*$B$23</f>
        <v>4656.4115234513838</v>
      </c>
      <c r="E36"/>
      <c r="F36"/>
      <c r="G36"/>
      <c r="H36"/>
      <c r="I36"/>
      <c r="J36"/>
      <c r="K36"/>
    </row>
    <row r="37" spans="1:12" ht="15.75" customHeight="1">
      <c r="A37" s="57" t="s">
        <v>72</v>
      </c>
      <c r="B37" s="57"/>
      <c r="C37" s="57"/>
      <c r="D37" s="57">
        <f>SUM(D33:D36)</f>
        <v>5730.1265666876106</v>
      </c>
      <c r="E37"/>
      <c r="F37"/>
      <c r="G37"/>
      <c r="H37"/>
      <c r="I37"/>
      <c r="J37"/>
      <c r="K37"/>
    </row>
    <row r="38" spans="1:12" ht="15.75" customHeight="1">
      <c r="A38" s="56" t="s">
        <v>71</v>
      </c>
      <c r="B38" s="56"/>
      <c r="C38" s="56"/>
      <c r="D38" s="66">
        <f>SQRT(D37*H18)</f>
        <v>775.91418817469275</v>
      </c>
      <c r="E38"/>
      <c r="F38"/>
      <c r="G38"/>
      <c r="H38"/>
      <c r="I38"/>
      <c r="J38"/>
      <c r="K38"/>
    </row>
    <row r="39" spans="1:12" ht="15.75" customHeight="1">
      <c r="A39"/>
      <c r="B39"/>
      <c r="C39"/>
      <c r="D39"/>
      <c r="E39"/>
      <c r="F39"/>
      <c r="G39"/>
      <c r="H39"/>
      <c r="I39"/>
      <c r="J39"/>
      <c r="K39"/>
    </row>
    <row r="40" spans="1:12" ht="15.75" customHeight="1">
      <c r="A40" s="2"/>
      <c r="B40" s="2"/>
      <c r="C40" s="2"/>
      <c r="D40" s="2"/>
      <c r="E40" s="2"/>
      <c r="F40" s="2"/>
      <c r="G40" s="2"/>
      <c r="H40" s="2"/>
      <c r="I40" s="2"/>
      <c r="J40" s="2"/>
      <c r="K40" s="2"/>
      <c r="L40" s="2"/>
    </row>
    <row r="41" spans="1:12" ht="15.75" customHeight="1">
      <c r="A41" s="21" t="s">
        <v>70</v>
      </c>
      <c r="B41" s="65"/>
      <c r="C41" s="65"/>
      <c r="D41" s="10">
        <v>20000</v>
      </c>
      <c r="E41" s="65"/>
      <c r="F41" s="65"/>
      <c r="G41" s="65"/>
      <c r="H41" s="65"/>
      <c r="I41" s="65"/>
      <c r="J41" s="65"/>
      <c r="K41" s="65"/>
      <c r="L41" s="2"/>
    </row>
    <row r="42" spans="1:12" ht="15.75" customHeight="1">
      <c r="A42" s="2"/>
      <c r="B42" s="2"/>
      <c r="C42" s="2"/>
      <c r="D42" s="2"/>
      <c r="E42" s="2"/>
      <c r="F42" s="2"/>
      <c r="G42" s="2"/>
      <c r="H42" s="2"/>
      <c r="I42" s="2"/>
      <c r="J42" s="2"/>
      <c r="K42" s="2"/>
      <c r="L42" s="2"/>
    </row>
    <row r="43" spans="1:12" ht="15.75" customHeight="1">
      <c r="A43" s="3" t="s">
        <v>7</v>
      </c>
      <c r="B43" s="3" t="s">
        <v>69</v>
      </c>
      <c r="C43" s="60"/>
      <c r="D43" s="60"/>
      <c r="E43" s="60"/>
      <c r="F43" s="60"/>
      <c r="G43" s="60"/>
      <c r="H43" s="60"/>
      <c r="I43" s="60"/>
      <c r="J43" s="60"/>
      <c r="K43" s="60"/>
      <c r="L43" s="2"/>
    </row>
    <row r="44" spans="1:12" ht="15.75" customHeight="1">
      <c r="A44" s="5"/>
      <c r="B44" s="5" t="s">
        <v>64</v>
      </c>
      <c r="C44" s="5"/>
      <c r="D44" s="60"/>
      <c r="E44" s="60"/>
      <c r="F44" s="60"/>
      <c r="G44" s="60"/>
      <c r="H44" s="60"/>
      <c r="I44" s="60"/>
      <c r="J44" s="60"/>
      <c r="K44" s="60"/>
      <c r="L44" s="2"/>
    </row>
    <row r="45" spans="1:12" ht="15.75" customHeight="1">
      <c r="A45"/>
      <c r="B45"/>
      <c r="C45"/>
      <c r="D45"/>
      <c r="E45"/>
      <c r="F45"/>
      <c r="G45"/>
      <c r="H45"/>
      <c r="I45"/>
      <c r="J45"/>
      <c r="K45"/>
    </row>
    <row r="46" spans="1:12" ht="15.75" customHeight="1">
      <c r="A46"/>
      <c r="B46"/>
      <c r="C46"/>
      <c r="D46" s="64">
        <f>D41*B23</f>
        <v>10848</v>
      </c>
      <c r="E46"/>
      <c r="F46"/>
      <c r="G46"/>
      <c r="H46"/>
      <c r="I46"/>
      <c r="J46"/>
      <c r="K46"/>
    </row>
    <row r="47" spans="1:12" ht="15.75" customHeight="1">
      <c r="A47"/>
      <c r="B47"/>
      <c r="C47"/>
      <c r="D47"/>
      <c r="E47"/>
      <c r="F47"/>
      <c r="G47"/>
      <c r="H47"/>
      <c r="I47"/>
      <c r="J47"/>
      <c r="K47"/>
    </row>
    <row r="48" spans="1:12" ht="15.75" customHeight="1">
      <c r="A48" s="3" t="s">
        <v>4</v>
      </c>
      <c r="B48" s="3" t="s">
        <v>68</v>
      </c>
      <c r="C48" s="60"/>
      <c r="D48" s="60"/>
      <c r="E48" s="60"/>
      <c r="F48" s="60"/>
      <c r="G48" s="60"/>
      <c r="H48" s="60"/>
      <c r="I48" s="60"/>
      <c r="J48" s="60"/>
      <c r="K48" s="60"/>
      <c r="L48" s="2"/>
    </row>
    <row r="49" spans="1:12" ht="15.75" customHeight="1">
      <c r="A49" s="5"/>
      <c r="B49" s="5" t="s">
        <v>64</v>
      </c>
      <c r="C49" s="5"/>
      <c r="D49" s="60"/>
      <c r="E49" s="60"/>
      <c r="F49" s="60"/>
      <c r="G49" s="60"/>
      <c r="H49" s="60"/>
      <c r="I49" s="60"/>
      <c r="J49" s="60"/>
      <c r="K49" s="60"/>
      <c r="L49" s="2"/>
    </row>
    <row r="50" spans="1:12" ht="15.75" customHeight="1">
      <c r="A50" s="59"/>
      <c r="B50" s="59"/>
      <c r="C50" s="59"/>
      <c r="D50" s="58"/>
      <c r="E50" s="58"/>
      <c r="F50" s="58"/>
      <c r="G50" s="58"/>
      <c r="H50" s="58"/>
      <c r="I50" s="58"/>
      <c r="J50" s="58"/>
      <c r="K50" s="58"/>
      <c r="L50" s="1"/>
    </row>
    <row r="51" spans="1:12" ht="15.75" customHeight="1">
      <c r="A51"/>
      <c r="B51"/>
      <c r="C51" s="57" t="s">
        <v>67</v>
      </c>
      <c r="D51" s="57">
        <f>SQRT(D46*H18)</f>
        <v>1067.5947372074183</v>
      </c>
      <c r="E51"/>
      <c r="F51"/>
      <c r="G51"/>
      <c r="H51"/>
      <c r="I51"/>
      <c r="J51"/>
      <c r="K51"/>
    </row>
    <row r="52" spans="1:12" ht="15.75" customHeight="1">
      <c r="A52"/>
      <c r="B52"/>
      <c r="C52" s="56" t="s">
        <v>62</v>
      </c>
      <c r="D52" s="55">
        <f>D51/D46</f>
        <v>9.8413969137851984E-2</v>
      </c>
      <c r="E52"/>
      <c r="F52"/>
      <c r="G52"/>
      <c r="H52"/>
      <c r="I52"/>
      <c r="J52"/>
      <c r="K52"/>
    </row>
    <row r="53" spans="1:12" ht="15.75" customHeight="1">
      <c r="A53"/>
      <c r="B53"/>
      <c r="C53"/>
      <c r="D53"/>
      <c r="E53"/>
      <c r="F53"/>
      <c r="G53"/>
      <c r="H53"/>
      <c r="I53"/>
      <c r="J53"/>
      <c r="K53"/>
    </row>
    <row r="54" spans="1:12" ht="15.75" customHeight="1">
      <c r="A54" s="3" t="s">
        <v>66</v>
      </c>
      <c r="B54" s="2"/>
      <c r="C54" s="2"/>
      <c r="D54" s="2"/>
      <c r="E54" s="2"/>
      <c r="F54" s="2"/>
      <c r="G54" s="2"/>
      <c r="H54" s="2"/>
      <c r="I54" s="2"/>
      <c r="J54" s="2"/>
      <c r="K54" s="2"/>
      <c r="L54" s="2"/>
    </row>
    <row r="55" spans="1:12" ht="15.75" customHeight="1">
      <c r="A55" s="2"/>
      <c r="B55" s="63"/>
      <c r="C55" s="62" t="s">
        <v>10</v>
      </c>
      <c r="D55" s="62" t="s">
        <v>12</v>
      </c>
      <c r="E55" s="2"/>
      <c r="F55" s="2"/>
      <c r="G55" s="2"/>
      <c r="H55" s="2"/>
      <c r="I55" s="2"/>
      <c r="J55" s="2"/>
      <c r="K55" s="2"/>
      <c r="L55" s="2"/>
    </row>
    <row r="56" spans="1:12" ht="15.75" customHeight="1">
      <c r="A56" s="2"/>
      <c r="B56" s="62" t="s">
        <v>10</v>
      </c>
      <c r="C56" s="6">
        <v>1.47E-3</v>
      </c>
      <c r="D56" s="6">
        <v>1.112E-2</v>
      </c>
      <c r="E56" s="2"/>
      <c r="F56" s="2"/>
      <c r="G56" s="2"/>
      <c r="H56" s="2"/>
      <c r="I56" s="2"/>
      <c r="J56" s="2"/>
      <c r="K56" s="2"/>
      <c r="L56" s="2"/>
    </row>
    <row r="57" spans="1:12" ht="15.75" customHeight="1">
      <c r="A57" s="2"/>
      <c r="B57" s="62" t="s">
        <v>12</v>
      </c>
      <c r="C57" s="6">
        <v>1.112E-2</v>
      </c>
      <c r="D57" s="6">
        <v>0.64988000000000001</v>
      </c>
      <c r="E57" s="2"/>
      <c r="F57" s="2"/>
      <c r="G57" s="2"/>
      <c r="H57" s="2"/>
      <c r="I57" s="2"/>
      <c r="J57" s="2"/>
      <c r="K57" s="2"/>
      <c r="L57" s="2"/>
    </row>
    <row r="58" spans="1:12" ht="15.75" customHeight="1">
      <c r="A58" s="2"/>
      <c r="B58" s="61"/>
      <c r="C58" s="3"/>
      <c r="D58" s="3"/>
      <c r="E58" s="2"/>
      <c r="F58" s="2"/>
      <c r="G58" s="2"/>
      <c r="H58" s="2"/>
      <c r="I58" s="2"/>
      <c r="J58" s="2"/>
      <c r="K58" s="2"/>
      <c r="L58" s="2"/>
    </row>
    <row r="59" spans="1:12" ht="15.75" customHeight="1">
      <c r="A59" s="3" t="s">
        <v>48</v>
      </c>
      <c r="B59" s="3" t="s">
        <v>65</v>
      </c>
      <c r="C59" s="2"/>
      <c r="D59" s="2"/>
      <c r="E59" s="2"/>
      <c r="F59" s="2"/>
      <c r="G59" s="2"/>
      <c r="H59" s="2"/>
      <c r="I59" s="2"/>
      <c r="J59" s="2"/>
      <c r="K59" s="2"/>
      <c r="L59" s="2"/>
    </row>
    <row r="60" spans="1:12" ht="15.75" customHeight="1">
      <c r="A60" s="5"/>
      <c r="B60" s="5" t="s">
        <v>64</v>
      </c>
      <c r="C60" s="5"/>
      <c r="D60" s="60"/>
      <c r="E60" s="60"/>
      <c r="F60" s="60"/>
      <c r="G60" s="60"/>
      <c r="H60" s="60"/>
      <c r="I60" s="60"/>
      <c r="J60" s="60"/>
      <c r="K60" s="60"/>
      <c r="L60" s="2"/>
    </row>
    <row r="61" spans="1:12" ht="15.75" customHeight="1">
      <c r="A61" s="59"/>
      <c r="B61" s="59"/>
      <c r="C61" s="59"/>
      <c r="D61" s="58"/>
      <c r="E61" s="58"/>
      <c r="F61" s="58"/>
      <c r="G61" s="58"/>
      <c r="H61" s="58"/>
      <c r="I61" s="58"/>
      <c r="J61" s="58"/>
      <c r="K61" s="58"/>
      <c r="L61" s="1"/>
    </row>
    <row r="62" spans="1:12" ht="15.75" customHeight="1">
      <c r="A62"/>
      <c r="B62"/>
      <c r="C62" s="57" t="s">
        <v>63</v>
      </c>
      <c r="D62" s="57">
        <f>SQRT(C56)</f>
        <v>3.8340579025361629E-2</v>
      </c>
      <c r="E62"/>
      <c r="F62"/>
      <c r="G62"/>
      <c r="H62"/>
      <c r="I62"/>
      <c r="J62"/>
      <c r="K62"/>
    </row>
    <row r="63" spans="1:12">
      <c r="A63"/>
      <c r="B63"/>
      <c r="C63" s="56" t="s">
        <v>62</v>
      </c>
      <c r="D63" s="55">
        <f>D62/B23</f>
        <v>7.0686908232598877E-2</v>
      </c>
      <c r="E63"/>
      <c r="F63"/>
      <c r="G63"/>
      <c r="H63"/>
      <c r="I63"/>
      <c r="J63"/>
      <c r="K63"/>
    </row>
    <row r="64" spans="1:12">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row r="71" spans="1:11">
      <c r="A71"/>
      <c r="B71"/>
      <c r="C71"/>
      <c r="D71"/>
      <c r="E71"/>
      <c r="F71"/>
      <c r="G71"/>
      <c r="H71"/>
      <c r="I71"/>
      <c r="J71"/>
      <c r="K71"/>
    </row>
    <row r="72" spans="1:11">
      <c r="A72"/>
      <c r="B72"/>
      <c r="C72"/>
      <c r="D72"/>
      <c r="E72"/>
      <c r="F72"/>
      <c r="G72"/>
      <c r="H72"/>
      <c r="I72"/>
      <c r="J72"/>
      <c r="K72"/>
    </row>
    <row r="73" spans="1:11">
      <c r="A73"/>
      <c r="B73"/>
      <c r="C73"/>
      <c r="D73"/>
      <c r="E73"/>
      <c r="F73"/>
      <c r="G73"/>
      <c r="H73"/>
      <c r="I73"/>
      <c r="J73"/>
      <c r="K73"/>
    </row>
    <row r="74" spans="1:11">
      <c r="A74"/>
      <c r="B74"/>
      <c r="C74"/>
      <c r="D74"/>
      <c r="E74"/>
      <c r="F74"/>
      <c r="G74"/>
      <c r="H74"/>
      <c r="I74"/>
      <c r="J74"/>
      <c r="K74"/>
    </row>
    <row r="75" spans="1:11">
      <c r="A75"/>
      <c r="B75"/>
      <c r="C75"/>
      <c r="D75"/>
      <c r="E75"/>
      <c r="F75"/>
      <c r="G75"/>
      <c r="H75"/>
      <c r="I75"/>
      <c r="J75"/>
      <c r="K75"/>
    </row>
    <row r="76" spans="1:11">
      <c r="A76"/>
      <c r="B76"/>
      <c r="C76"/>
      <c r="D76"/>
      <c r="E76"/>
      <c r="F76"/>
      <c r="G76"/>
      <c r="H76"/>
      <c r="I76"/>
      <c r="J76"/>
      <c r="K76"/>
    </row>
    <row r="77" spans="1:11">
      <c r="A77"/>
      <c r="B77"/>
      <c r="C77"/>
      <c r="D77"/>
      <c r="E77"/>
      <c r="F77"/>
      <c r="G77"/>
      <c r="H77"/>
      <c r="I77"/>
      <c r="J77"/>
      <c r="K77"/>
    </row>
    <row r="78" spans="1:11">
      <c r="A78"/>
      <c r="B78"/>
      <c r="C78"/>
      <c r="D78"/>
      <c r="E78"/>
      <c r="F78"/>
      <c r="G78"/>
      <c r="H78"/>
      <c r="I78"/>
      <c r="J78"/>
      <c r="K78"/>
    </row>
    <row r="79" spans="1:11">
      <c r="A79"/>
      <c r="B79"/>
      <c r="C79"/>
      <c r="D79"/>
      <c r="E79"/>
      <c r="F79"/>
      <c r="G79"/>
      <c r="H79"/>
      <c r="I79"/>
      <c r="J79"/>
      <c r="K79"/>
    </row>
    <row r="80" spans="1:11">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c r="B152"/>
      <c r="C152"/>
      <c r="D152"/>
      <c r="E152"/>
      <c r="F152"/>
      <c r="G152"/>
      <c r="H152"/>
      <c r="I152"/>
      <c r="J152"/>
      <c r="K152"/>
    </row>
    <row r="153" spans="1:11">
      <c r="A153"/>
      <c r="B153"/>
      <c r="C153"/>
      <c r="D153"/>
      <c r="E153"/>
      <c r="F153"/>
      <c r="G153"/>
      <c r="H153"/>
      <c r="I153"/>
      <c r="J153"/>
      <c r="K153"/>
    </row>
    <row r="154" spans="1:11">
      <c r="A154"/>
      <c r="B154"/>
      <c r="C154"/>
      <c r="D154"/>
      <c r="E154"/>
      <c r="F154"/>
      <c r="G154"/>
      <c r="H154"/>
      <c r="I154"/>
      <c r="J154"/>
      <c r="K154"/>
    </row>
    <row r="155" spans="1:11">
      <c r="A155"/>
      <c r="B155"/>
      <c r="C155"/>
      <c r="D155"/>
      <c r="E155"/>
      <c r="F155"/>
      <c r="G155"/>
      <c r="H155"/>
      <c r="I155"/>
      <c r="J155"/>
      <c r="K155"/>
    </row>
    <row r="156" spans="1:11">
      <c r="A156"/>
      <c r="B156"/>
      <c r="C156"/>
      <c r="D156"/>
      <c r="E156"/>
      <c r="F156"/>
      <c r="G156"/>
      <c r="H156"/>
      <c r="I156"/>
      <c r="J156"/>
      <c r="K156"/>
    </row>
    <row r="157" spans="1:11">
      <c r="A157"/>
      <c r="B157"/>
      <c r="C157"/>
      <c r="D157"/>
      <c r="E157"/>
      <c r="F157"/>
      <c r="G157"/>
      <c r="H157"/>
      <c r="I157"/>
      <c r="J157"/>
      <c r="K157"/>
    </row>
    <row r="158" spans="1:11">
      <c r="A158"/>
      <c r="B158"/>
      <c r="C158"/>
      <c r="D158"/>
      <c r="E158"/>
      <c r="F158"/>
      <c r="G158"/>
      <c r="H158"/>
      <c r="I158"/>
      <c r="J158"/>
      <c r="K158"/>
    </row>
    <row r="159" spans="1:11">
      <c r="A159"/>
      <c r="B159"/>
      <c r="C159"/>
      <c r="D159"/>
      <c r="E159"/>
      <c r="F159"/>
      <c r="G159"/>
      <c r="H159"/>
      <c r="I159"/>
      <c r="J159"/>
      <c r="K159"/>
    </row>
    <row r="160" spans="1:11">
      <c r="A160"/>
      <c r="B160"/>
      <c r="C160"/>
      <c r="D160"/>
      <c r="E160"/>
      <c r="F160"/>
      <c r="G160"/>
      <c r="H160"/>
      <c r="I160"/>
      <c r="J160"/>
      <c r="K160"/>
    </row>
    <row r="161" spans="1:11">
      <c r="A161"/>
      <c r="B161"/>
      <c r="C161"/>
      <c r="D161"/>
      <c r="E161"/>
      <c r="F161"/>
      <c r="G161"/>
      <c r="H161"/>
      <c r="I161"/>
      <c r="J161"/>
      <c r="K161"/>
    </row>
    <row r="162" spans="1:11">
      <c r="A162"/>
      <c r="B162"/>
      <c r="C162"/>
      <c r="D162"/>
      <c r="E162"/>
      <c r="F162"/>
      <c r="G162"/>
      <c r="H162"/>
      <c r="I162"/>
      <c r="J162"/>
      <c r="K162"/>
    </row>
    <row r="163" spans="1:11">
      <c r="A163"/>
      <c r="B163"/>
      <c r="C163"/>
      <c r="D163"/>
      <c r="E163"/>
      <c r="F163"/>
      <c r="G163"/>
      <c r="H163"/>
      <c r="I163"/>
      <c r="J163"/>
      <c r="K163"/>
    </row>
    <row r="164" spans="1:11">
      <c r="A164"/>
      <c r="B164"/>
      <c r="C164"/>
      <c r="D164"/>
      <c r="E164"/>
      <c r="F164"/>
      <c r="G164"/>
      <c r="H164"/>
      <c r="I164"/>
      <c r="J164"/>
      <c r="K164"/>
    </row>
    <row r="165" spans="1:11">
      <c r="A165"/>
      <c r="B165"/>
      <c r="C165"/>
      <c r="D165"/>
      <c r="E165"/>
      <c r="F165"/>
      <c r="G165"/>
      <c r="H165"/>
      <c r="I165"/>
      <c r="J165"/>
      <c r="K165"/>
    </row>
    <row r="166" spans="1:11">
      <c r="A166"/>
      <c r="B166"/>
      <c r="C166"/>
      <c r="D166"/>
      <c r="E166"/>
      <c r="F166"/>
      <c r="G166"/>
      <c r="H166"/>
      <c r="I166"/>
      <c r="J166"/>
      <c r="K166"/>
    </row>
    <row r="167" spans="1:11">
      <c r="A167"/>
      <c r="B167"/>
      <c r="C167"/>
      <c r="D167"/>
      <c r="E167"/>
      <c r="F167"/>
      <c r="G167"/>
      <c r="H167"/>
      <c r="I167"/>
      <c r="J167"/>
      <c r="K167"/>
    </row>
    <row r="168" spans="1:11">
      <c r="A168"/>
      <c r="B168"/>
      <c r="C168"/>
      <c r="D168"/>
      <c r="E168"/>
      <c r="F168"/>
      <c r="G168"/>
      <c r="H168"/>
      <c r="I168"/>
      <c r="J168"/>
      <c r="K168"/>
    </row>
    <row r="169" spans="1:11">
      <c r="A169"/>
      <c r="B169"/>
      <c r="C169"/>
      <c r="D169"/>
      <c r="E169"/>
      <c r="F169"/>
      <c r="G169"/>
      <c r="H169"/>
      <c r="I169"/>
      <c r="J169"/>
      <c r="K169"/>
    </row>
    <row r="170" spans="1:11">
      <c r="A170"/>
      <c r="B170"/>
      <c r="C170"/>
      <c r="D170"/>
      <c r="E170"/>
      <c r="F170"/>
      <c r="G170"/>
      <c r="H170"/>
      <c r="I170"/>
      <c r="J170"/>
      <c r="K170"/>
    </row>
    <row r="171" spans="1:11">
      <c r="A171"/>
      <c r="B171"/>
      <c r="C171"/>
      <c r="D171"/>
      <c r="E171"/>
      <c r="F171"/>
      <c r="G171"/>
      <c r="H171"/>
      <c r="I171"/>
      <c r="J171"/>
      <c r="K171"/>
    </row>
    <row r="172" spans="1:11">
      <c r="A172"/>
      <c r="B172"/>
      <c r="C172"/>
      <c r="D172"/>
      <c r="E172"/>
      <c r="F172"/>
      <c r="G172"/>
      <c r="H172"/>
      <c r="I172"/>
      <c r="J172"/>
      <c r="K172"/>
    </row>
    <row r="173" spans="1:11">
      <c r="A173"/>
      <c r="B173"/>
      <c r="C173"/>
      <c r="D173"/>
      <c r="E173"/>
      <c r="F173"/>
      <c r="G173"/>
      <c r="H173"/>
      <c r="I173"/>
      <c r="J173"/>
      <c r="K173"/>
    </row>
    <row r="174" spans="1:11">
      <c r="A174"/>
      <c r="B174"/>
      <c r="C174"/>
      <c r="D174"/>
      <c r="E174"/>
      <c r="F174"/>
      <c r="G174"/>
      <c r="H174"/>
      <c r="I174"/>
      <c r="J174"/>
      <c r="K174"/>
    </row>
    <row r="175" spans="1:11">
      <c r="A175"/>
      <c r="B175"/>
      <c r="C175"/>
      <c r="D175"/>
      <c r="E175"/>
      <c r="F175"/>
      <c r="G175"/>
      <c r="H175"/>
      <c r="I175"/>
      <c r="J175"/>
      <c r="K175"/>
    </row>
    <row r="176" spans="1:11">
      <c r="A176"/>
      <c r="B176"/>
      <c r="C176"/>
      <c r="D176"/>
      <c r="E176"/>
      <c r="F176"/>
      <c r="G176"/>
      <c r="H176"/>
      <c r="I176"/>
      <c r="J176"/>
      <c r="K176"/>
    </row>
    <row r="177" spans="1:11">
      <c r="A177"/>
      <c r="B177"/>
      <c r="C177"/>
      <c r="D177"/>
      <c r="E177"/>
      <c r="F177"/>
      <c r="G177"/>
      <c r="H177"/>
      <c r="I177"/>
      <c r="J177"/>
      <c r="K177"/>
    </row>
    <row r="178" spans="1:11">
      <c r="A178"/>
      <c r="B178"/>
      <c r="C178"/>
      <c r="D178"/>
      <c r="E178"/>
      <c r="F178"/>
      <c r="G178"/>
      <c r="H178"/>
      <c r="I178"/>
      <c r="J178"/>
      <c r="K178"/>
    </row>
    <row r="179" spans="1:11">
      <c r="A179"/>
      <c r="B179"/>
      <c r="C179"/>
      <c r="D179"/>
      <c r="E179"/>
      <c r="F179"/>
      <c r="G179"/>
      <c r="H179"/>
      <c r="I179"/>
      <c r="J179"/>
      <c r="K179"/>
    </row>
    <row r="180" spans="1:11">
      <c r="A180"/>
      <c r="B180"/>
      <c r="C180"/>
      <c r="D180"/>
      <c r="E180"/>
      <c r="F180"/>
      <c r="G180"/>
      <c r="H180"/>
      <c r="I180"/>
      <c r="J180"/>
      <c r="K180"/>
    </row>
    <row r="181" spans="1:11">
      <c r="A181"/>
      <c r="B181"/>
      <c r="C181"/>
      <c r="D181"/>
      <c r="E181"/>
      <c r="F181"/>
      <c r="G181"/>
      <c r="H181"/>
      <c r="I181"/>
      <c r="J181"/>
      <c r="K181"/>
    </row>
    <row r="182" spans="1:11">
      <c r="A182"/>
      <c r="B182"/>
      <c r="C182"/>
      <c r="D182"/>
      <c r="E182"/>
      <c r="F182"/>
      <c r="G182"/>
      <c r="H182"/>
      <c r="I182"/>
      <c r="J182"/>
      <c r="K182"/>
    </row>
    <row r="183" spans="1:11">
      <c r="A183"/>
      <c r="B183"/>
      <c r="C183"/>
      <c r="D183"/>
      <c r="E183"/>
      <c r="F183"/>
      <c r="G183"/>
      <c r="H183"/>
      <c r="I183"/>
      <c r="J183"/>
      <c r="K183"/>
    </row>
    <row r="184" spans="1:11">
      <c r="A184"/>
      <c r="B184"/>
      <c r="C184"/>
      <c r="D184"/>
      <c r="E184"/>
      <c r="F184"/>
      <c r="G184"/>
      <c r="H184"/>
      <c r="I184"/>
      <c r="J184"/>
      <c r="K184"/>
    </row>
    <row r="185" spans="1:11">
      <c r="A185"/>
      <c r="B185"/>
      <c r="C185"/>
      <c r="D185"/>
      <c r="E185"/>
      <c r="F185"/>
      <c r="G185"/>
      <c r="H185"/>
      <c r="I185"/>
      <c r="J185"/>
      <c r="K185"/>
    </row>
    <row r="186" spans="1:11">
      <c r="A186"/>
      <c r="B186"/>
      <c r="C186"/>
      <c r="D186"/>
      <c r="E186"/>
      <c r="F186"/>
      <c r="G186"/>
      <c r="H186"/>
      <c r="I186"/>
      <c r="J186"/>
      <c r="K186"/>
    </row>
    <row r="187" spans="1:11">
      <c r="A187"/>
      <c r="B187"/>
      <c r="C187"/>
      <c r="D187"/>
      <c r="E187"/>
      <c r="F187"/>
      <c r="G187"/>
      <c r="H187"/>
      <c r="I187"/>
      <c r="J187"/>
      <c r="K187"/>
    </row>
    <row r="188" spans="1:11">
      <c r="A188"/>
      <c r="B188"/>
      <c r="C188"/>
      <c r="D188"/>
      <c r="E188"/>
      <c r="F188"/>
      <c r="G188"/>
      <c r="H188"/>
      <c r="I188"/>
      <c r="J188"/>
      <c r="K188"/>
    </row>
    <row r="189" spans="1:11">
      <c r="A189"/>
      <c r="B189"/>
      <c r="C189"/>
      <c r="D189"/>
      <c r="E189"/>
      <c r="F189"/>
      <c r="G189"/>
      <c r="H189"/>
      <c r="I189"/>
      <c r="J189"/>
      <c r="K189"/>
    </row>
    <row r="190" spans="1:11">
      <c r="A190"/>
      <c r="B190"/>
      <c r="C190"/>
      <c r="D190"/>
      <c r="E190"/>
      <c r="F190"/>
      <c r="G190"/>
      <c r="H190"/>
      <c r="I190"/>
      <c r="J190"/>
      <c r="K190"/>
    </row>
    <row r="191" spans="1:11">
      <c r="A191"/>
      <c r="B191"/>
      <c r="C191"/>
      <c r="D191"/>
      <c r="E191"/>
      <c r="F191"/>
      <c r="G191"/>
      <c r="H191"/>
      <c r="I191"/>
      <c r="J191"/>
      <c r="K191"/>
    </row>
    <row r="192" spans="1:11">
      <c r="A192"/>
      <c r="B192"/>
      <c r="C192"/>
      <c r="D192"/>
      <c r="E192"/>
      <c r="F192"/>
      <c r="G192"/>
      <c r="H192"/>
      <c r="I192"/>
      <c r="J192"/>
      <c r="K192"/>
    </row>
    <row r="193" spans="1:11">
      <c r="A193"/>
      <c r="B193"/>
      <c r="C193"/>
      <c r="D193"/>
      <c r="E193"/>
      <c r="F193"/>
      <c r="G193"/>
      <c r="H193"/>
      <c r="I193"/>
      <c r="J193"/>
      <c r="K193"/>
    </row>
    <row r="194" spans="1:11">
      <c r="A194"/>
      <c r="B194"/>
      <c r="C194"/>
      <c r="D194"/>
      <c r="E194"/>
      <c r="F194"/>
      <c r="G194"/>
      <c r="H194"/>
      <c r="I194"/>
      <c r="J194"/>
      <c r="K194"/>
    </row>
    <row r="195" spans="1:11">
      <c r="A195"/>
      <c r="B195"/>
      <c r="C195"/>
      <c r="D195"/>
      <c r="E195"/>
      <c r="F195"/>
      <c r="G195"/>
      <c r="H195"/>
      <c r="I195"/>
      <c r="J195"/>
      <c r="K195"/>
    </row>
    <row r="196" spans="1:11">
      <c r="A196"/>
      <c r="B196"/>
      <c r="C196"/>
      <c r="D196"/>
      <c r="E196"/>
      <c r="F196"/>
      <c r="G196"/>
      <c r="H196"/>
      <c r="I196"/>
      <c r="J196"/>
      <c r="K196"/>
    </row>
    <row r="197" spans="1:11">
      <c r="A197"/>
      <c r="B197"/>
      <c r="C197"/>
      <c r="D197"/>
      <c r="E197"/>
      <c r="F197"/>
      <c r="G197"/>
      <c r="H197"/>
      <c r="I197"/>
      <c r="J197"/>
      <c r="K197"/>
    </row>
    <row r="198" spans="1:11">
      <c r="A198"/>
      <c r="B198"/>
      <c r="C198"/>
      <c r="D198"/>
      <c r="E198"/>
      <c r="F198"/>
      <c r="G198"/>
      <c r="H198"/>
      <c r="I198"/>
      <c r="J198"/>
      <c r="K198"/>
    </row>
    <row r="199" spans="1:11">
      <c r="A199"/>
      <c r="B199"/>
      <c r="C199"/>
      <c r="D199"/>
      <c r="E199"/>
      <c r="F199"/>
      <c r="G199"/>
      <c r="H199"/>
      <c r="I199"/>
      <c r="J199"/>
      <c r="K199"/>
    </row>
    <row r="200" spans="1:11">
      <c r="A200"/>
      <c r="B200"/>
      <c r="C200"/>
      <c r="D200"/>
      <c r="E200"/>
      <c r="F200"/>
      <c r="G200"/>
      <c r="H200"/>
      <c r="I200"/>
      <c r="J200"/>
      <c r="K200"/>
    </row>
    <row r="201" spans="1:11">
      <c r="A201"/>
      <c r="B201"/>
      <c r="C201"/>
      <c r="D201"/>
      <c r="E201"/>
      <c r="F201"/>
      <c r="G201"/>
      <c r="H201"/>
      <c r="I201"/>
      <c r="J201"/>
      <c r="K201"/>
    </row>
    <row r="202" spans="1:11">
      <c r="A202"/>
      <c r="B202"/>
      <c r="C202"/>
      <c r="D202"/>
      <c r="E202"/>
      <c r="F202"/>
      <c r="G202"/>
      <c r="H202"/>
      <c r="I202"/>
      <c r="J202"/>
      <c r="K202"/>
    </row>
    <row r="203" spans="1:11">
      <c r="A203"/>
      <c r="B203"/>
      <c r="C203"/>
      <c r="D203"/>
      <c r="E203"/>
      <c r="F203"/>
      <c r="G203"/>
      <c r="H203"/>
      <c r="I203"/>
      <c r="J203"/>
      <c r="K203"/>
    </row>
    <row r="204" spans="1:11">
      <c r="A204"/>
      <c r="B204"/>
      <c r="C204"/>
      <c r="D204"/>
      <c r="E204"/>
      <c r="F204"/>
      <c r="G204"/>
      <c r="H204"/>
      <c r="I204"/>
      <c r="J204"/>
      <c r="K204"/>
    </row>
    <row r="205" spans="1:11">
      <c r="A205"/>
      <c r="B205"/>
      <c r="C205"/>
      <c r="D205"/>
      <c r="E205"/>
      <c r="F205"/>
      <c r="G205"/>
      <c r="H205"/>
      <c r="I205"/>
      <c r="J205"/>
      <c r="K205"/>
    </row>
    <row r="206" spans="1:11">
      <c r="A206"/>
      <c r="B206"/>
      <c r="C206"/>
      <c r="D206"/>
      <c r="E206"/>
      <c r="F206"/>
      <c r="G206"/>
      <c r="H206"/>
      <c r="I206"/>
      <c r="J206"/>
      <c r="K206"/>
    </row>
    <row r="207" spans="1:11">
      <c r="A207"/>
      <c r="B207"/>
      <c r="C207"/>
      <c r="D207"/>
      <c r="E207"/>
      <c r="F207"/>
      <c r="G207"/>
      <c r="H207"/>
      <c r="I207"/>
      <c r="J207"/>
      <c r="K207"/>
    </row>
    <row r="208" spans="1:11">
      <c r="A208"/>
      <c r="B208"/>
      <c r="C208"/>
      <c r="D208"/>
      <c r="E208"/>
      <c r="F208"/>
      <c r="G208"/>
      <c r="H208"/>
      <c r="I208"/>
      <c r="J208"/>
      <c r="K208"/>
    </row>
    <row r="209" spans="1:11">
      <c r="A209"/>
      <c r="B209"/>
      <c r="C209"/>
      <c r="D209"/>
      <c r="E209"/>
      <c r="F209"/>
      <c r="G209"/>
      <c r="H209"/>
      <c r="I209"/>
      <c r="J209"/>
      <c r="K209"/>
    </row>
    <row r="210" spans="1:11">
      <c r="A210"/>
      <c r="B210"/>
      <c r="C210"/>
      <c r="D210"/>
      <c r="E210"/>
      <c r="F210"/>
      <c r="G210"/>
      <c r="H210"/>
      <c r="I210"/>
      <c r="J210"/>
      <c r="K210"/>
    </row>
    <row r="211" spans="1:11">
      <c r="A211"/>
      <c r="B211"/>
      <c r="C211"/>
      <c r="D211"/>
      <c r="E211"/>
      <c r="F211"/>
      <c r="G211"/>
      <c r="H211"/>
      <c r="I211"/>
      <c r="J211"/>
      <c r="K211"/>
    </row>
    <row r="212" spans="1:11">
      <c r="A212"/>
      <c r="B212"/>
      <c r="C212"/>
      <c r="D212"/>
      <c r="E212"/>
      <c r="F212"/>
      <c r="G212"/>
      <c r="H212"/>
      <c r="I212"/>
      <c r="J212"/>
      <c r="K212"/>
    </row>
    <row r="213" spans="1:11">
      <c r="A213"/>
      <c r="B213"/>
      <c r="C213"/>
      <c r="D213"/>
      <c r="E213"/>
      <c r="F213"/>
      <c r="G213"/>
      <c r="H213"/>
      <c r="I213"/>
      <c r="J213"/>
      <c r="K213"/>
    </row>
    <row r="214" spans="1:11">
      <c r="A214"/>
      <c r="B214"/>
      <c r="C214"/>
      <c r="D214"/>
      <c r="E214"/>
      <c r="F214"/>
      <c r="G214"/>
      <c r="H214"/>
      <c r="I214"/>
      <c r="J214"/>
      <c r="K214"/>
    </row>
    <row r="215" spans="1:11">
      <c r="A215"/>
      <c r="B215"/>
      <c r="C215"/>
      <c r="D215"/>
      <c r="E215"/>
      <c r="F215"/>
      <c r="G215"/>
      <c r="H215"/>
      <c r="I215"/>
      <c r="J215"/>
      <c r="K215"/>
    </row>
    <row r="216" spans="1:11">
      <c r="A216"/>
      <c r="B216"/>
      <c r="C216"/>
      <c r="D216"/>
      <c r="E216"/>
      <c r="F216"/>
      <c r="G216"/>
      <c r="H216"/>
      <c r="I216"/>
      <c r="J216"/>
      <c r="K216"/>
    </row>
    <row r="217" spans="1:11">
      <c r="A217"/>
      <c r="B217"/>
      <c r="C217"/>
      <c r="D217"/>
      <c r="E217"/>
      <c r="F217"/>
      <c r="G217"/>
      <c r="H217"/>
      <c r="I217"/>
      <c r="J217"/>
      <c r="K217"/>
    </row>
    <row r="218" spans="1:11">
      <c r="A218"/>
      <c r="B218"/>
      <c r="C218"/>
      <c r="D218"/>
      <c r="E218"/>
      <c r="F218"/>
      <c r="G218"/>
      <c r="H218"/>
      <c r="I218"/>
      <c r="J218"/>
      <c r="K218"/>
    </row>
    <row r="219" spans="1:11">
      <c r="A219"/>
      <c r="B219"/>
      <c r="C219"/>
      <c r="D219"/>
      <c r="E219"/>
      <c r="F219"/>
      <c r="G219"/>
      <c r="H219"/>
      <c r="I219"/>
      <c r="J219"/>
      <c r="K219"/>
    </row>
    <row r="220" spans="1:11">
      <c r="A220"/>
      <c r="B220"/>
      <c r="C220"/>
      <c r="D220"/>
      <c r="E220"/>
      <c r="F220"/>
      <c r="G220"/>
      <c r="H220"/>
      <c r="I220"/>
      <c r="J220"/>
      <c r="K220"/>
    </row>
    <row r="221" spans="1:11">
      <c r="A221"/>
      <c r="B221"/>
      <c r="C221"/>
      <c r="D221"/>
      <c r="E221"/>
      <c r="F221"/>
      <c r="G221"/>
      <c r="H221"/>
      <c r="I221"/>
      <c r="J221"/>
      <c r="K221"/>
    </row>
    <row r="222" spans="1:11">
      <c r="A222"/>
      <c r="B222"/>
      <c r="C222"/>
      <c r="D222"/>
      <c r="E222"/>
      <c r="F222"/>
      <c r="G222"/>
      <c r="H222"/>
      <c r="I222"/>
      <c r="J222"/>
      <c r="K222"/>
    </row>
    <row r="223" spans="1:11">
      <c r="A223"/>
      <c r="B223"/>
      <c r="C223"/>
      <c r="D223"/>
      <c r="E223"/>
      <c r="F223"/>
      <c r="G223"/>
      <c r="H223"/>
      <c r="I223"/>
      <c r="J223"/>
      <c r="K223"/>
    </row>
    <row r="224" spans="1:11">
      <c r="A224"/>
      <c r="B224"/>
      <c r="C224"/>
      <c r="D224"/>
      <c r="E224"/>
      <c r="F224"/>
      <c r="G224"/>
      <c r="H224"/>
      <c r="I224"/>
      <c r="J224"/>
      <c r="K224"/>
    </row>
    <row r="225" spans="1:11">
      <c r="A225"/>
      <c r="B225"/>
      <c r="C225"/>
      <c r="D225"/>
      <c r="E225"/>
      <c r="F225"/>
      <c r="G225"/>
      <c r="H225"/>
      <c r="I225"/>
      <c r="J225"/>
      <c r="K225"/>
    </row>
    <row r="226" spans="1:11">
      <c r="A226"/>
      <c r="B226"/>
      <c r="C226"/>
      <c r="D226"/>
      <c r="E226"/>
      <c r="F226"/>
      <c r="G226"/>
      <c r="H226"/>
      <c r="I226"/>
      <c r="J226"/>
      <c r="K226"/>
    </row>
    <row r="227" spans="1:11">
      <c r="A227"/>
      <c r="B227"/>
      <c r="C227"/>
      <c r="D227"/>
      <c r="E227"/>
      <c r="F227"/>
      <c r="G227"/>
      <c r="H227"/>
      <c r="I227"/>
      <c r="J227"/>
      <c r="K227"/>
    </row>
    <row r="228" spans="1:11">
      <c r="A228"/>
      <c r="B228"/>
      <c r="C228"/>
      <c r="D228"/>
      <c r="E228"/>
      <c r="F228"/>
      <c r="G228"/>
      <c r="H228"/>
      <c r="I228"/>
      <c r="J228"/>
      <c r="K228"/>
    </row>
    <row r="229" spans="1:11">
      <c r="A229"/>
      <c r="B229"/>
      <c r="C229"/>
      <c r="D229"/>
      <c r="E229"/>
      <c r="F229"/>
      <c r="G229"/>
      <c r="H229"/>
      <c r="I229"/>
      <c r="J229"/>
      <c r="K229"/>
    </row>
    <row r="230" spans="1:11">
      <c r="A230"/>
      <c r="B230"/>
      <c r="C230"/>
      <c r="D230"/>
      <c r="E230"/>
      <c r="F230"/>
      <c r="G230"/>
      <c r="H230"/>
      <c r="I230"/>
      <c r="J230"/>
      <c r="K230"/>
    </row>
    <row r="231" spans="1:11">
      <c r="A231"/>
      <c r="B231"/>
      <c r="C231"/>
      <c r="D231"/>
      <c r="E231"/>
      <c r="F231"/>
      <c r="G231"/>
      <c r="H231"/>
      <c r="I231"/>
      <c r="J231"/>
      <c r="K231"/>
    </row>
    <row r="232" spans="1:11">
      <c r="A232"/>
      <c r="B232"/>
      <c r="C232"/>
      <c r="D232"/>
      <c r="E232"/>
      <c r="F232"/>
      <c r="G232"/>
      <c r="H232"/>
      <c r="I232"/>
      <c r="J232"/>
      <c r="K232"/>
    </row>
    <row r="233" spans="1:11">
      <c r="A233"/>
      <c r="B233"/>
      <c r="C233"/>
      <c r="D233"/>
      <c r="E233"/>
      <c r="F233"/>
      <c r="G233"/>
      <c r="H233"/>
      <c r="I233"/>
      <c r="J233"/>
      <c r="K233"/>
    </row>
    <row r="234" spans="1:11">
      <c r="A234"/>
      <c r="B234"/>
      <c r="C234"/>
      <c r="D234"/>
      <c r="E234"/>
      <c r="F234"/>
      <c r="G234"/>
      <c r="H234"/>
      <c r="I234"/>
      <c r="J234"/>
      <c r="K234"/>
    </row>
    <row r="235" spans="1:11">
      <c r="A235"/>
      <c r="B235"/>
      <c r="C235"/>
      <c r="D235"/>
      <c r="E235"/>
      <c r="F235"/>
      <c r="G235"/>
      <c r="H235"/>
      <c r="I235"/>
      <c r="J235"/>
      <c r="K235"/>
    </row>
    <row r="236" spans="1:11">
      <c r="A236"/>
      <c r="B236"/>
      <c r="C236"/>
      <c r="D236"/>
      <c r="E236"/>
      <c r="F236"/>
      <c r="G236"/>
      <c r="H236"/>
      <c r="I236"/>
      <c r="J236"/>
      <c r="K236"/>
    </row>
    <row r="237" spans="1:11">
      <c r="A237"/>
      <c r="B237"/>
      <c r="C237"/>
      <c r="D237"/>
      <c r="E237"/>
      <c r="F237"/>
      <c r="G237"/>
      <c r="H237"/>
      <c r="I237"/>
      <c r="J237"/>
      <c r="K237"/>
    </row>
    <row r="238" spans="1:11">
      <c r="A238"/>
      <c r="B238"/>
      <c r="C238"/>
      <c r="D238"/>
      <c r="E238"/>
      <c r="F238"/>
      <c r="G238"/>
      <c r="H238"/>
      <c r="I238"/>
      <c r="J238"/>
      <c r="K238"/>
    </row>
    <row r="239" spans="1:11">
      <c r="A239"/>
      <c r="B239"/>
      <c r="C239"/>
      <c r="D239"/>
      <c r="E239"/>
      <c r="F239"/>
      <c r="G239"/>
      <c r="H239"/>
      <c r="I239"/>
      <c r="J239"/>
      <c r="K239"/>
    </row>
    <row r="240" spans="1:11">
      <c r="A240"/>
      <c r="B240"/>
      <c r="C240"/>
      <c r="D240"/>
      <c r="E240"/>
      <c r="F240"/>
      <c r="G240"/>
      <c r="H240"/>
      <c r="I240"/>
      <c r="J240"/>
      <c r="K240"/>
    </row>
    <row r="241" spans="1:11">
      <c r="A241"/>
      <c r="B241"/>
      <c r="C241"/>
      <c r="D241"/>
      <c r="E241"/>
      <c r="F241"/>
      <c r="G241"/>
      <c r="H241"/>
      <c r="I241"/>
      <c r="J241"/>
      <c r="K241"/>
    </row>
    <row r="242" spans="1:11">
      <c r="A242"/>
      <c r="B242"/>
      <c r="C242"/>
      <c r="D242"/>
      <c r="E242"/>
      <c r="F242"/>
      <c r="G242"/>
      <c r="H242"/>
      <c r="I242"/>
      <c r="J242"/>
      <c r="K242"/>
    </row>
    <row r="243" spans="1:11">
      <c r="A243"/>
      <c r="B243"/>
      <c r="C243"/>
      <c r="D243"/>
      <c r="E243"/>
      <c r="F243"/>
      <c r="G243"/>
      <c r="H243"/>
      <c r="I243"/>
      <c r="J243"/>
      <c r="K243"/>
    </row>
    <row r="244" spans="1:11">
      <c r="A244"/>
      <c r="B244"/>
      <c r="C244"/>
      <c r="D244"/>
      <c r="E244"/>
      <c r="F244"/>
      <c r="G244"/>
      <c r="H244"/>
      <c r="I244"/>
      <c r="J244"/>
      <c r="K244"/>
    </row>
    <row r="245" spans="1:11">
      <c r="A245"/>
      <c r="B245"/>
      <c r="C245"/>
      <c r="D245"/>
      <c r="E245"/>
      <c r="F245"/>
      <c r="G245"/>
      <c r="H245"/>
      <c r="I245"/>
      <c r="J245"/>
      <c r="K245"/>
    </row>
    <row r="246" spans="1:11">
      <c r="A246"/>
      <c r="B246"/>
      <c r="C246"/>
      <c r="D246"/>
      <c r="E246"/>
      <c r="F246"/>
      <c r="G246"/>
      <c r="H246"/>
      <c r="I246"/>
      <c r="J246"/>
      <c r="K246"/>
    </row>
    <row r="247" spans="1:11">
      <c r="A247"/>
      <c r="B247"/>
      <c r="C247"/>
      <c r="D247"/>
      <c r="E247"/>
      <c r="F247"/>
      <c r="G247"/>
      <c r="H247"/>
      <c r="I247"/>
      <c r="J247"/>
      <c r="K247"/>
    </row>
    <row r="248" spans="1:11">
      <c r="A248"/>
      <c r="B248"/>
      <c r="C248"/>
      <c r="D248"/>
      <c r="E248"/>
      <c r="F248"/>
      <c r="G248"/>
      <c r="H248"/>
      <c r="I248"/>
      <c r="J248"/>
      <c r="K248"/>
    </row>
    <row r="249" spans="1:11">
      <c r="A249"/>
      <c r="B249"/>
      <c r="C249"/>
      <c r="D249"/>
      <c r="E249"/>
      <c r="F249"/>
      <c r="G249"/>
      <c r="H249"/>
      <c r="I249"/>
      <c r="J249"/>
      <c r="K249"/>
    </row>
    <row r="250" spans="1:11">
      <c r="A250"/>
      <c r="B250"/>
      <c r="C250"/>
      <c r="D250"/>
      <c r="E250"/>
      <c r="F250"/>
      <c r="G250"/>
      <c r="H250"/>
      <c r="I250"/>
      <c r="J250"/>
      <c r="K250"/>
    </row>
    <row r="251" spans="1:11">
      <c r="A251"/>
      <c r="B251"/>
      <c r="C251"/>
      <c r="D251"/>
      <c r="E251"/>
      <c r="F251"/>
      <c r="G251"/>
      <c r="H251"/>
      <c r="I251"/>
      <c r="J251"/>
      <c r="K251"/>
    </row>
    <row r="252" spans="1:11">
      <c r="A252"/>
      <c r="B252"/>
      <c r="C252"/>
      <c r="D252"/>
      <c r="E252"/>
      <c r="F252"/>
      <c r="G252"/>
      <c r="H252"/>
      <c r="I252"/>
      <c r="J252"/>
      <c r="K252"/>
    </row>
    <row r="253" spans="1:11">
      <c r="A253"/>
      <c r="B253"/>
      <c r="C253"/>
      <c r="D253"/>
      <c r="E253"/>
      <c r="F253"/>
      <c r="G253"/>
      <c r="H253"/>
      <c r="I253"/>
      <c r="J253"/>
      <c r="K253"/>
    </row>
    <row r="254" spans="1:11">
      <c r="A254"/>
      <c r="B254"/>
      <c r="C254"/>
      <c r="D254"/>
      <c r="E254"/>
      <c r="F254"/>
      <c r="G254"/>
      <c r="H254"/>
      <c r="I254"/>
      <c r="J254"/>
      <c r="K254"/>
    </row>
    <row r="255" spans="1:11">
      <c r="A255"/>
      <c r="B255"/>
      <c r="C255"/>
      <c r="D255"/>
      <c r="E255"/>
      <c r="F255"/>
      <c r="G255"/>
      <c r="H255"/>
      <c r="I255"/>
      <c r="J255"/>
      <c r="K255"/>
    </row>
    <row r="256" spans="1:11">
      <c r="A256"/>
      <c r="B256"/>
      <c r="C256"/>
      <c r="D256"/>
      <c r="E256"/>
      <c r="F256"/>
      <c r="G256"/>
      <c r="H256"/>
      <c r="I256"/>
      <c r="J256"/>
      <c r="K256"/>
    </row>
    <row r="257" spans="1:11">
      <c r="A257"/>
      <c r="B257"/>
      <c r="C257"/>
      <c r="D257"/>
      <c r="E257"/>
      <c r="F257"/>
      <c r="G257"/>
      <c r="H257"/>
      <c r="I257"/>
      <c r="J257"/>
      <c r="K257"/>
    </row>
    <row r="258" spans="1:11">
      <c r="A258"/>
      <c r="B258"/>
      <c r="C258"/>
      <c r="D258"/>
      <c r="E258"/>
      <c r="F258"/>
      <c r="G258"/>
      <c r="H258"/>
      <c r="I258"/>
      <c r="J258"/>
      <c r="K258"/>
    </row>
    <row r="259" spans="1:11">
      <c r="A259"/>
      <c r="B259"/>
      <c r="C259"/>
      <c r="D259"/>
      <c r="E259"/>
      <c r="F259"/>
      <c r="G259"/>
      <c r="H259"/>
      <c r="I259"/>
      <c r="J259"/>
      <c r="K259"/>
    </row>
    <row r="260" spans="1:11">
      <c r="A260"/>
      <c r="B260"/>
      <c r="C260"/>
      <c r="D260"/>
      <c r="E260"/>
      <c r="F260"/>
      <c r="G260"/>
      <c r="H260"/>
      <c r="I260"/>
      <c r="J260"/>
      <c r="K260"/>
    </row>
    <row r="261" spans="1:11">
      <c r="A261"/>
      <c r="B261"/>
      <c r="C261"/>
      <c r="D261"/>
      <c r="E261"/>
      <c r="F261"/>
      <c r="G261"/>
      <c r="H261"/>
      <c r="I261"/>
      <c r="J261"/>
      <c r="K261"/>
    </row>
    <row r="262" spans="1:11">
      <c r="A262"/>
      <c r="B262"/>
      <c r="C262"/>
      <c r="D262"/>
      <c r="E262"/>
      <c r="F262"/>
      <c r="G262"/>
      <c r="H262"/>
      <c r="I262"/>
      <c r="J262"/>
      <c r="K262"/>
    </row>
    <row r="263" spans="1:11">
      <c r="A263"/>
      <c r="B263"/>
      <c r="C263"/>
      <c r="D263"/>
      <c r="E263"/>
      <c r="F263"/>
      <c r="G263"/>
      <c r="H263"/>
      <c r="I263"/>
      <c r="J263"/>
      <c r="K263"/>
    </row>
    <row r="264" spans="1:11">
      <c r="A264"/>
      <c r="B264"/>
      <c r="C264"/>
      <c r="D264"/>
      <c r="E264"/>
      <c r="F264"/>
      <c r="G264"/>
      <c r="H264"/>
      <c r="I264"/>
      <c r="J264"/>
      <c r="K264"/>
    </row>
    <row r="265" spans="1:11">
      <c r="A265"/>
      <c r="B265"/>
      <c r="C265"/>
      <c r="D265"/>
      <c r="E265"/>
      <c r="F265"/>
      <c r="G265"/>
      <c r="H265"/>
      <c r="I265"/>
      <c r="J265"/>
      <c r="K265"/>
    </row>
    <row r="266" spans="1:11">
      <c r="A266"/>
      <c r="B266"/>
      <c r="C266"/>
      <c r="D266"/>
      <c r="E266"/>
      <c r="F266"/>
      <c r="G266"/>
      <c r="H266"/>
      <c r="I266"/>
      <c r="J266"/>
      <c r="K266"/>
    </row>
    <row r="267" spans="1:11">
      <c r="A267"/>
      <c r="B267"/>
      <c r="C267"/>
      <c r="D267"/>
      <c r="E267"/>
      <c r="F267"/>
      <c r="G267"/>
      <c r="H267"/>
      <c r="I267"/>
      <c r="J267"/>
      <c r="K267"/>
    </row>
    <row r="268" spans="1:11">
      <c r="A268"/>
      <c r="B268"/>
      <c r="C268"/>
      <c r="D268"/>
      <c r="E268"/>
      <c r="F268"/>
      <c r="G268"/>
      <c r="H268"/>
      <c r="I268"/>
      <c r="J268"/>
      <c r="K268"/>
    </row>
    <row r="269" spans="1:11">
      <c r="A269"/>
      <c r="B269"/>
      <c r="C269"/>
      <c r="D269"/>
      <c r="E269"/>
      <c r="F269"/>
      <c r="G269"/>
      <c r="H269"/>
      <c r="I269"/>
      <c r="J269"/>
      <c r="K269"/>
    </row>
    <row r="270" spans="1:11">
      <c r="A270"/>
      <c r="B270"/>
      <c r="C270"/>
      <c r="D270"/>
      <c r="E270"/>
      <c r="F270"/>
      <c r="G270"/>
      <c r="H270"/>
      <c r="I270"/>
      <c r="J270"/>
      <c r="K270"/>
    </row>
    <row r="271" spans="1:11">
      <c r="A271"/>
      <c r="B271"/>
      <c r="C271"/>
      <c r="D271"/>
      <c r="E271"/>
      <c r="F271"/>
      <c r="G271"/>
      <c r="H271"/>
      <c r="I271"/>
      <c r="J271"/>
      <c r="K271"/>
    </row>
    <row r="272" spans="1:11">
      <c r="A272"/>
      <c r="B272"/>
      <c r="C272"/>
      <c r="D272"/>
      <c r="E272"/>
      <c r="F272"/>
      <c r="G272"/>
      <c r="H272"/>
      <c r="I272"/>
      <c r="J272"/>
      <c r="K272"/>
    </row>
    <row r="273" spans="1:11">
      <c r="A273"/>
      <c r="B273"/>
      <c r="C273"/>
      <c r="D273"/>
      <c r="E273"/>
      <c r="F273"/>
      <c r="G273"/>
      <c r="H273"/>
      <c r="I273"/>
      <c r="J273"/>
      <c r="K273"/>
    </row>
    <row r="274" spans="1:11">
      <c r="A274"/>
      <c r="B274"/>
      <c r="C274"/>
      <c r="D274"/>
      <c r="E274"/>
      <c r="F274"/>
      <c r="G274"/>
      <c r="H274"/>
      <c r="I274"/>
      <c r="J274"/>
      <c r="K274"/>
    </row>
    <row r="275" spans="1:11">
      <c r="A275"/>
      <c r="B275"/>
      <c r="C275"/>
      <c r="D275"/>
      <c r="E275"/>
      <c r="F275"/>
      <c r="G275"/>
      <c r="H275"/>
      <c r="I275"/>
      <c r="J275"/>
      <c r="K275"/>
    </row>
    <row r="276" spans="1:11">
      <c r="A276"/>
      <c r="B276"/>
      <c r="C276"/>
      <c r="D276"/>
      <c r="E276"/>
      <c r="F276"/>
      <c r="G276"/>
      <c r="H276"/>
      <c r="I276"/>
      <c r="J276"/>
      <c r="K276"/>
    </row>
    <row r="277" spans="1:11">
      <c r="A277"/>
      <c r="B277"/>
      <c r="C277"/>
      <c r="D277"/>
      <c r="E277"/>
      <c r="F277"/>
      <c r="G277"/>
      <c r="H277"/>
      <c r="I277"/>
      <c r="J277"/>
      <c r="K277"/>
    </row>
    <row r="278" spans="1:11">
      <c r="A278"/>
      <c r="B278"/>
      <c r="C278"/>
      <c r="D278"/>
      <c r="E278"/>
      <c r="F278"/>
      <c r="G278"/>
      <c r="H278"/>
      <c r="I278"/>
      <c r="J278"/>
      <c r="K278"/>
    </row>
    <row r="279" spans="1:11">
      <c r="A279"/>
      <c r="B279"/>
      <c r="C279"/>
      <c r="D279"/>
      <c r="E279"/>
      <c r="F279"/>
      <c r="G279"/>
      <c r="H279"/>
      <c r="I279"/>
      <c r="J279"/>
      <c r="K279"/>
    </row>
    <row r="280" spans="1:11">
      <c r="A280"/>
      <c r="B280"/>
      <c r="C280"/>
      <c r="D280"/>
      <c r="E280"/>
      <c r="F280"/>
      <c r="G280"/>
      <c r="H280"/>
      <c r="I280"/>
      <c r="J280"/>
      <c r="K280"/>
    </row>
    <row r="281" spans="1:11">
      <c r="A281"/>
      <c r="B281"/>
      <c r="C281"/>
      <c r="D281"/>
      <c r="E281"/>
      <c r="F281"/>
      <c r="G281"/>
      <c r="H281"/>
      <c r="I281"/>
      <c r="J281"/>
      <c r="K281"/>
    </row>
    <row r="282" spans="1:11">
      <c r="A282"/>
      <c r="B282"/>
      <c r="C282"/>
      <c r="D282"/>
      <c r="E282"/>
      <c r="F282"/>
      <c r="G282"/>
      <c r="H282"/>
      <c r="I282"/>
      <c r="J282"/>
      <c r="K282"/>
    </row>
    <row r="283" spans="1:11">
      <c r="A283"/>
      <c r="B283"/>
      <c r="C283"/>
      <c r="D283"/>
      <c r="E283"/>
      <c r="F283"/>
      <c r="G283"/>
      <c r="H283"/>
      <c r="I283"/>
      <c r="J283"/>
      <c r="K283"/>
    </row>
    <row r="284" spans="1:11">
      <c r="A284"/>
      <c r="B284"/>
      <c r="C284"/>
      <c r="D284"/>
      <c r="E284"/>
      <c r="F284"/>
      <c r="G284"/>
      <c r="H284"/>
      <c r="I284"/>
      <c r="J284"/>
      <c r="K284"/>
    </row>
    <row r="285" spans="1:11">
      <c r="A285"/>
      <c r="B285"/>
      <c r="C285"/>
      <c r="D285"/>
      <c r="E285"/>
      <c r="F285"/>
      <c r="G285"/>
      <c r="H285"/>
      <c r="I285"/>
      <c r="J285"/>
      <c r="K285"/>
    </row>
    <row r="286" spans="1:11">
      <c r="A286"/>
      <c r="B286"/>
      <c r="C286"/>
      <c r="D286"/>
      <c r="E286"/>
      <c r="F286"/>
      <c r="G286"/>
      <c r="H286"/>
      <c r="I286"/>
      <c r="J286"/>
      <c r="K286"/>
    </row>
    <row r="287" spans="1:11">
      <c r="A287"/>
      <c r="B287"/>
      <c r="C287"/>
      <c r="D287"/>
      <c r="E287"/>
      <c r="F287"/>
      <c r="G287"/>
      <c r="H287"/>
      <c r="I287"/>
      <c r="J287"/>
      <c r="K287"/>
    </row>
    <row r="288" spans="1:11">
      <c r="A288"/>
      <c r="B288"/>
      <c r="C288"/>
      <c r="D288"/>
      <c r="E288"/>
      <c r="F288"/>
      <c r="G288"/>
      <c r="H288"/>
      <c r="I288"/>
      <c r="J288"/>
      <c r="K288"/>
    </row>
    <row r="289" spans="1:11">
      <c r="A289"/>
      <c r="B289"/>
      <c r="C289"/>
      <c r="D289"/>
      <c r="E289"/>
      <c r="F289"/>
      <c r="G289"/>
      <c r="H289"/>
      <c r="I289"/>
      <c r="J289"/>
      <c r="K289"/>
    </row>
    <row r="290" spans="1:11">
      <c r="A290"/>
      <c r="B290"/>
      <c r="C290"/>
      <c r="D290"/>
      <c r="E290"/>
      <c r="F290"/>
      <c r="G290"/>
      <c r="H290"/>
      <c r="I290"/>
      <c r="J290"/>
      <c r="K290"/>
    </row>
    <row r="291" spans="1:11">
      <c r="A291"/>
      <c r="B291"/>
      <c r="C291"/>
      <c r="D291"/>
      <c r="E291"/>
      <c r="F291"/>
      <c r="G291"/>
      <c r="H291"/>
      <c r="I291"/>
      <c r="J291"/>
      <c r="K291"/>
    </row>
    <row r="292" spans="1:11">
      <c r="A292"/>
      <c r="B292"/>
      <c r="C292"/>
      <c r="D292"/>
      <c r="E292"/>
      <c r="F292"/>
      <c r="G292"/>
      <c r="H292"/>
      <c r="I292"/>
      <c r="J292"/>
      <c r="K292"/>
    </row>
    <row r="293" spans="1:11">
      <c r="A293"/>
      <c r="B293"/>
      <c r="C293"/>
      <c r="D293"/>
      <c r="E293"/>
      <c r="F293"/>
      <c r="G293"/>
      <c r="H293"/>
      <c r="I293"/>
      <c r="J293"/>
      <c r="K293"/>
    </row>
    <row r="294" spans="1:11">
      <c r="A294"/>
      <c r="B294"/>
      <c r="C294"/>
      <c r="D294"/>
      <c r="E294"/>
      <c r="F294"/>
      <c r="G294"/>
      <c r="H294"/>
      <c r="I294"/>
      <c r="J294"/>
      <c r="K294"/>
    </row>
    <row r="295" spans="1:11">
      <c r="A295"/>
      <c r="B295"/>
      <c r="C295"/>
      <c r="D295"/>
      <c r="E295"/>
      <c r="F295"/>
      <c r="G295"/>
      <c r="H295"/>
      <c r="I295"/>
      <c r="J295"/>
      <c r="K295"/>
    </row>
    <row r="296" spans="1:11">
      <c r="A296"/>
      <c r="B296"/>
      <c r="C296"/>
      <c r="D296"/>
      <c r="E296"/>
      <c r="F296"/>
      <c r="G296"/>
      <c r="H296"/>
      <c r="I296"/>
      <c r="J296"/>
      <c r="K296"/>
    </row>
    <row r="297" spans="1:11">
      <c r="A297"/>
      <c r="B297"/>
      <c r="C297"/>
      <c r="D297"/>
      <c r="E297"/>
      <c r="F297"/>
      <c r="G297"/>
      <c r="H297"/>
      <c r="I297"/>
      <c r="J297"/>
      <c r="K297"/>
    </row>
    <row r="298" spans="1:11">
      <c r="A298"/>
      <c r="B298"/>
      <c r="C298"/>
      <c r="D298"/>
      <c r="E298"/>
      <c r="F298"/>
      <c r="G298"/>
      <c r="H298"/>
      <c r="I298"/>
      <c r="J298"/>
      <c r="K298"/>
    </row>
    <row r="299" spans="1:11">
      <c r="A299"/>
      <c r="B299"/>
      <c r="C299"/>
      <c r="D299"/>
      <c r="E299"/>
      <c r="F299"/>
      <c r="G299"/>
      <c r="H299"/>
      <c r="I299"/>
      <c r="J299"/>
      <c r="K299"/>
    </row>
    <row r="300" spans="1:11">
      <c r="A300"/>
      <c r="B300"/>
      <c r="C300"/>
      <c r="D300"/>
      <c r="E300"/>
      <c r="F300"/>
      <c r="G300"/>
      <c r="H300"/>
      <c r="I300"/>
      <c r="J300"/>
      <c r="K300"/>
    </row>
    <row r="301" spans="1:11">
      <c r="A301"/>
      <c r="B301"/>
      <c r="C301"/>
      <c r="D301"/>
      <c r="E301"/>
      <c r="F301"/>
      <c r="G301"/>
      <c r="H301"/>
      <c r="I301"/>
      <c r="J301"/>
      <c r="K301"/>
    </row>
    <row r="302" spans="1:11">
      <c r="A302"/>
      <c r="B302"/>
      <c r="C302"/>
      <c r="D302"/>
      <c r="E302"/>
      <c r="F302"/>
      <c r="G302"/>
      <c r="H302"/>
      <c r="I302"/>
      <c r="J302"/>
      <c r="K302"/>
    </row>
    <row r="303" spans="1:11">
      <c r="A303"/>
      <c r="B303"/>
      <c r="C303"/>
      <c r="D303"/>
      <c r="E303"/>
      <c r="F303"/>
      <c r="G303"/>
      <c r="H303"/>
      <c r="I303"/>
      <c r="J303"/>
      <c r="K303"/>
    </row>
    <row r="304" spans="1:11">
      <c r="A304"/>
      <c r="B304"/>
      <c r="C304"/>
      <c r="D304"/>
      <c r="E304"/>
      <c r="F304"/>
      <c r="G304"/>
      <c r="H304"/>
      <c r="I304"/>
      <c r="J304"/>
      <c r="K304"/>
    </row>
    <row r="305" spans="1:11">
      <c r="A305"/>
      <c r="B305"/>
      <c r="C305"/>
      <c r="D305"/>
      <c r="E305"/>
      <c r="F305"/>
      <c r="G305"/>
      <c r="H305"/>
      <c r="I305"/>
      <c r="J305"/>
      <c r="K305"/>
    </row>
    <row r="306" spans="1:11">
      <c r="A306"/>
      <c r="B306"/>
      <c r="C306"/>
      <c r="D306"/>
      <c r="E306"/>
      <c r="F306"/>
      <c r="G306"/>
      <c r="H306"/>
      <c r="I306"/>
      <c r="J306"/>
      <c r="K306"/>
    </row>
    <row r="307" spans="1:11">
      <c r="A307"/>
      <c r="B307"/>
      <c r="C307"/>
      <c r="D307"/>
      <c r="E307"/>
      <c r="F307"/>
      <c r="G307"/>
      <c r="H307"/>
      <c r="I307"/>
      <c r="J307"/>
      <c r="K307"/>
    </row>
    <row r="308" spans="1:11">
      <c r="A308"/>
      <c r="B308"/>
      <c r="C308"/>
      <c r="D308"/>
      <c r="E308"/>
      <c r="F308"/>
      <c r="G308"/>
      <c r="H308"/>
      <c r="I308"/>
      <c r="J308"/>
      <c r="K308"/>
    </row>
    <row r="309" spans="1:11">
      <c r="A309"/>
      <c r="B309"/>
      <c r="C309"/>
      <c r="D309"/>
      <c r="E309"/>
      <c r="F309"/>
      <c r="G309"/>
      <c r="H309"/>
      <c r="I309"/>
      <c r="J309"/>
      <c r="K309"/>
    </row>
    <row r="310" spans="1:11">
      <c r="A310"/>
      <c r="B310"/>
      <c r="C310"/>
      <c r="D310"/>
      <c r="E310"/>
      <c r="F310"/>
      <c r="G310"/>
      <c r="H310"/>
      <c r="I310"/>
      <c r="J310"/>
      <c r="K310"/>
    </row>
    <row r="311" spans="1:11">
      <c r="A311"/>
      <c r="B311"/>
      <c r="C311"/>
      <c r="D311"/>
      <c r="E311"/>
      <c r="F311"/>
      <c r="G311"/>
      <c r="H311"/>
      <c r="I311"/>
      <c r="J311"/>
      <c r="K311"/>
    </row>
    <row r="312" spans="1:11">
      <c r="A312"/>
      <c r="B312"/>
      <c r="C312"/>
      <c r="D312"/>
      <c r="E312"/>
      <c r="F312"/>
      <c r="G312"/>
      <c r="H312"/>
      <c r="I312"/>
      <c r="J312"/>
      <c r="K312"/>
    </row>
    <row r="313" spans="1:11">
      <c r="A313"/>
      <c r="B313"/>
      <c r="C313"/>
      <c r="D313"/>
      <c r="E313"/>
      <c r="F313"/>
      <c r="G313"/>
      <c r="H313"/>
      <c r="I313"/>
      <c r="J313"/>
      <c r="K313"/>
    </row>
    <row r="314" spans="1:11">
      <c r="A314"/>
      <c r="B314"/>
      <c r="C314"/>
      <c r="D314"/>
      <c r="E314"/>
      <c r="F314"/>
      <c r="G314"/>
      <c r="H314"/>
      <c r="I314"/>
      <c r="J314"/>
      <c r="K314"/>
    </row>
    <row r="315" spans="1:11">
      <c r="A315"/>
      <c r="B315"/>
      <c r="C315"/>
      <c r="D315"/>
      <c r="E315"/>
      <c r="F315"/>
      <c r="G315"/>
      <c r="H315"/>
      <c r="I315"/>
      <c r="J315"/>
      <c r="K315"/>
    </row>
    <row r="316" spans="1:11">
      <c r="A316"/>
      <c r="B316"/>
      <c r="C316"/>
      <c r="D316"/>
      <c r="E316"/>
      <c r="F316"/>
      <c r="G316"/>
      <c r="H316"/>
      <c r="I316"/>
      <c r="J316"/>
      <c r="K316"/>
    </row>
    <row r="317" spans="1:11">
      <c r="A317"/>
      <c r="B317"/>
      <c r="C317"/>
      <c r="D317"/>
      <c r="E317"/>
      <c r="F317"/>
      <c r="G317"/>
      <c r="H317"/>
      <c r="I317"/>
      <c r="J317"/>
      <c r="K317"/>
    </row>
    <row r="318" spans="1:11">
      <c r="A318"/>
      <c r="B318"/>
      <c r="C318"/>
      <c r="D318"/>
      <c r="E318"/>
      <c r="F318"/>
      <c r="G318"/>
      <c r="H318"/>
      <c r="I318"/>
      <c r="J318"/>
      <c r="K318"/>
    </row>
    <row r="319" spans="1:11">
      <c r="A319"/>
      <c r="B319"/>
      <c r="C319"/>
      <c r="D319"/>
      <c r="E319"/>
      <c r="F319"/>
      <c r="G319"/>
      <c r="H319"/>
      <c r="I319"/>
      <c r="J319"/>
      <c r="K319"/>
    </row>
    <row r="320" spans="1:11">
      <c r="A320"/>
      <c r="B320"/>
      <c r="C320"/>
      <c r="D320"/>
      <c r="E320"/>
      <c r="F320"/>
      <c r="G320"/>
      <c r="H320"/>
      <c r="I320"/>
      <c r="J320"/>
      <c r="K320"/>
    </row>
    <row r="321" spans="1:11">
      <c r="A321"/>
      <c r="B321"/>
      <c r="C321"/>
      <c r="D321"/>
      <c r="E321"/>
      <c r="F321"/>
      <c r="G321"/>
      <c r="H321"/>
      <c r="I321"/>
      <c r="J321"/>
      <c r="K321"/>
    </row>
    <row r="322" spans="1:11">
      <c r="A322"/>
      <c r="B322"/>
      <c r="C322"/>
      <c r="D322"/>
      <c r="E322"/>
      <c r="F322"/>
      <c r="G322"/>
      <c r="H322"/>
      <c r="I322"/>
      <c r="J322"/>
      <c r="K322"/>
    </row>
    <row r="323" spans="1:11">
      <c r="A323"/>
      <c r="B323"/>
      <c r="C323"/>
      <c r="D323"/>
      <c r="E323"/>
      <c r="F323"/>
      <c r="G323"/>
      <c r="H323"/>
      <c r="I323"/>
      <c r="J323"/>
      <c r="K323"/>
    </row>
    <row r="324" spans="1:11">
      <c r="A324"/>
      <c r="B324"/>
      <c r="C324"/>
      <c r="D324"/>
      <c r="E324"/>
      <c r="F324"/>
      <c r="G324"/>
      <c r="H324"/>
      <c r="I324"/>
      <c r="J324"/>
      <c r="K324"/>
    </row>
    <row r="325" spans="1:11">
      <c r="A325"/>
      <c r="B325"/>
      <c r="C325"/>
      <c r="D325"/>
      <c r="E325"/>
      <c r="F325"/>
      <c r="G325"/>
      <c r="H325"/>
      <c r="I325"/>
      <c r="J325"/>
      <c r="K325"/>
    </row>
    <row r="326" spans="1:11">
      <c r="A326"/>
      <c r="B326"/>
      <c r="C326"/>
      <c r="D326"/>
      <c r="E326"/>
      <c r="F326"/>
      <c r="G326"/>
      <c r="H326"/>
      <c r="I326"/>
      <c r="J326"/>
      <c r="K326"/>
    </row>
    <row r="327" spans="1:11">
      <c r="A327"/>
      <c r="B327"/>
      <c r="C327"/>
      <c r="D327"/>
      <c r="E327"/>
      <c r="F327"/>
      <c r="G327"/>
      <c r="H327"/>
      <c r="I327"/>
      <c r="J327"/>
      <c r="K327"/>
    </row>
    <row r="328" spans="1:11">
      <c r="A328"/>
      <c r="B328"/>
      <c r="C328"/>
      <c r="D328"/>
      <c r="E328"/>
      <c r="F328"/>
      <c r="G328"/>
      <c r="H328"/>
      <c r="I328"/>
      <c r="J328"/>
      <c r="K328"/>
    </row>
    <row r="329" spans="1:11">
      <c r="A329"/>
      <c r="B329"/>
      <c r="C329"/>
      <c r="D329"/>
      <c r="E329"/>
      <c r="F329"/>
      <c r="G329"/>
      <c r="H329"/>
      <c r="I329"/>
      <c r="J329"/>
      <c r="K329"/>
    </row>
    <row r="330" spans="1:11">
      <c r="A330"/>
      <c r="B330"/>
      <c r="C330"/>
      <c r="D330"/>
      <c r="E330"/>
      <c r="F330"/>
      <c r="G330"/>
      <c r="H330"/>
      <c r="I330"/>
      <c r="J330"/>
      <c r="K330"/>
    </row>
    <row r="331" spans="1:11">
      <c r="A331"/>
      <c r="B331"/>
      <c r="C331"/>
      <c r="D331"/>
      <c r="E331"/>
      <c r="F331"/>
      <c r="G331"/>
      <c r="H331"/>
      <c r="I331"/>
      <c r="J331"/>
      <c r="K331"/>
    </row>
    <row r="332" spans="1:11">
      <c r="A332"/>
      <c r="B332"/>
      <c r="C332"/>
      <c r="D332"/>
      <c r="E332"/>
      <c r="F332"/>
      <c r="G332"/>
      <c r="H332"/>
      <c r="I332"/>
      <c r="J332"/>
      <c r="K332"/>
    </row>
    <row r="333" spans="1:11">
      <c r="A333"/>
      <c r="B333"/>
      <c r="C333"/>
      <c r="D333"/>
      <c r="E333"/>
      <c r="F333"/>
      <c r="G333"/>
      <c r="H333"/>
      <c r="I333"/>
      <c r="J333"/>
      <c r="K333"/>
    </row>
    <row r="334" spans="1:11">
      <c r="A334"/>
      <c r="B334"/>
      <c r="C334"/>
      <c r="D334"/>
      <c r="E334"/>
      <c r="F334"/>
      <c r="G334"/>
      <c r="H334"/>
      <c r="I334"/>
      <c r="J334"/>
      <c r="K334"/>
    </row>
    <row r="335" spans="1:11">
      <c r="A335"/>
      <c r="B335"/>
      <c r="C335"/>
      <c r="D335"/>
      <c r="E335"/>
      <c r="F335"/>
      <c r="G335"/>
      <c r="H335"/>
      <c r="I335"/>
      <c r="J335"/>
      <c r="K335"/>
    </row>
    <row r="336" spans="1:11">
      <c r="A336"/>
      <c r="B336"/>
      <c r="C336"/>
      <c r="D336"/>
      <c r="E336"/>
      <c r="F336"/>
      <c r="G336"/>
      <c r="H336"/>
      <c r="I336"/>
      <c r="J336"/>
      <c r="K336"/>
    </row>
    <row r="337" spans="1:11">
      <c r="A337"/>
      <c r="B337"/>
      <c r="C337"/>
      <c r="D337"/>
      <c r="E337"/>
      <c r="F337"/>
      <c r="G337"/>
      <c r="H337"/>
      <c r="I337"/>
      <c r="J337"/>
      <c r="K337"/>
    </row>
    <row r="338" spans="1:11">
      <c r="A338"/>
      <c r="B338"/>
      <c r="C338"/>
      <c r="D338"/>
      <c r="E338"/>
      <c r="F338"/>
      <c r="G338"/>
      <c r="H338"/>
      <c r="I338"/>
      <c r="J338"/>
      <c r="K338"/>
    </row>
    <row r="339" spans="1:11">
      <c r="A339"/>
      <c r="B339"/>
      <c r="C339"/>
      <c r="D339"/>
      <c r="E339"/>
      <c r="F339"/>
      <c r="G339"/>
      <c r="H339"/>
      <c r="I339"/>
      <c r="J339"/>
      <c r="K339"/>
    </row>
    <row r="340" spans="1:11">
      <c r="A340"/>
      <c r="B340"/>
      <c r="C340"/>
      <c r="D340"/>
      <c r="E340"/>
      <c r="F340"/>
      <c r="G340"/>
      <c r="H340"/>
      <c r="I340"/>
      <c r="J340"/>
      <c r="K340"/>
    </row>
    <row r="341" spans="1:11">
      <c r="A341"/>
      <c r="B341"/>
      <c r="C341"/>
      <c r="D341"/>
      <c r="E341"/>
      <c r="F341"/>
      <c r="G341"/>
      <c r="H341"/>
      <c r="I341"/>
      <c r="J341"/>
      <c r="K341"/>
    </row>
    <row r="342" spans="1:11">
      <c r="A342"/>
      <c r="B342"/>
      <c r="C342"/>
      <c r="D342"/>
      <c r="E342"/>
      <c r="F342"/>
      <c r="G342"/>
      <c r="H342"/>
      <c r="I342"/>
      <c r="J342"/>
      <c r="K342"/>
    </row>
    <row r="343" spans="1:11">
      <c r="A343"/>
      <c r="B343"/>
      <c r="C343"/>
      <c r="D343"/>
      <c r="E343"/>
      <c r="F343"/>
      <c r="G343"/>
      <c r="H343"/>
      <c r="I343"/>
      <c r="J343"/>
      <c r="K343"/>
    </row>
    <row r="344" spans="1:11">
      <c r="A344"/>
      <c r="B344"/>
      <c r="C344"/>
      <c r="D344"/>
      <c r="E344"/>
      <c r="F344"/>
      <c r="G344"/>
      <c r="H344"/>
      <c r="I344"/>
      <c r="J344"/>
      <c r="K344"/>
    </row>
    <row r="345" spans="1:11">
      <c r="A345"/>
      <c r="B345"/>
      <c r="C345"/>
      <c r="D345"/>
      <c r="E345"/>
      <c r="F345"/>
      <c r="G345"/>
      <c r="H345"/>
      <c r="I345"/>
      <c r="J345"/>
      <c r="K345"/>
    </row>
    <row r="346" spans="1:11">
      <c r="A346"/>
      <c r="B346"/>
      <c r="C346"/>
      <c r="D346"/>
      <c r="E346"/>
      <c r="F346"/>
      <c r="G346"/>
      <c r="H346"/>
      <c r="I346"/>
      <c r="J346"/>
      <c r="K346"/>
    </row>
    <row r="347" spans="1:11">
      <c r="A347"/>
      <c r="B347"/>
      <c r="C347"/>
      <c r="D347"/>
      <c r="E347"/>
      <c r="F347"/>
      <c r="G347"/>
      <c r="H347"/>
      <c r="I347"/>
      <c r="J347"/>
      <c r="K347"/>
    </row>
    <row r="348" spans="1:11">
      <c r="A348"/>
      <c r="B348"/>
      <c r="C348"/>
      <c r="D348"/>
      <c r="E348"/>
      <c r="F348"/>
      <c r="G348"/>
      <c r="H348"/>
      <c r="I348"/>
      <c r="J348"/>
      <c r="K348"/>
    </row>
    <row r="349" spans="1:11">
      <c r="A349"/>
      <c r="B349"/>
      <c r="C349"/>
      <c r="D349"/>
      <c r="E349"/>
      <c r="F349"/>
      <c r="G349"/>
      <c r="H349"/>
      <c r="I349"/>
      <c r="J349"/>
      <c r="K349"/>
    </row>
    <row r="350" spans="1:11">
      <c r="A350"/>
      <c r="B350"/>
      <c r="C350"/>
      <c r="D350"/>
      <c r="E350"/>
      <c r="F350"/>
      <c r="G350"/>
      <c r="H350"/>
      <c r="I350"/>
      <c r="J350"/>
      <c r="K350"/>
    </row>
    <row r="351" spans="1:11">
      <c r="A351"/>
      <c r="B351"/>
      <c r="C351"/>
      <c r="D351"/>
      <c r="E351"/>
      <c r="F351"/>
      <c r="G351"/>
      <c r="H351"/>
      <c r="I351"/>
      <c r="J351"/>
      <c r="K351"/>
    </row>
    <row r="352" spans="1:11">
      <c r="A352"/>
      <c r="B352"/>
      <c r="C352"/>
      <c r="D352"/>
      <c r="E352"/>
      <c r="F352"/>
      <c r="G352"/>
      <c r="H352"/>
      <c r="I352"/>
      <c r="J352"/>
      <c r="K352"/>
    </row>
    <row r="353" spans="1:11">
      <c r="A353"/>
      <c r="B353"/>
      <c r="C353"/>
      <c r="D353"/>
      <c r="E353"/>
      <c r="F353"/>
      <c r="G353"/>
      <c r="H353"/>
      <c r="I353"/>
      <c r="J353"/>
      <c r="K353"/>
    </row>
    <row r="354" spans="1:11">
      <c r="A354"/>
      <c r="B354"/>
      <c r="C354"/>
      <c r="D354"/>
      <c r="E354"/>
      <c r="F354"/>
      <c r="G354"/>
      <c r="H354"/>
      <c r="I354"/>
      <c r="J354"/>
      <c r="K354"/>
    </row>
    <row r="355" spans="1:11">
      <c r="A355"/>
      <c r="B355"/>
      <c r="C355"/>
      <c r="D355"/>
      <c r="E355"/>
      <c r="F355"/>
      <c r="G355"/>
      <c r="H355"/>
      <c r="I355"/>
      <c r="J355"/>
      <c r="K355"/>
    </row>
    <row r="356" spans="1:11">
      <c r="A356"/>
      <c r="B356"/>
      <c r="C356"/>
      <c r="D356"/>
      <c r="E356"/>
      <c r="F356"/>
      <c r="G356"/>
      <c r="H356"/>
      <c r="I356"/>
      <c r="J356"/>
      <c r="K356"/>
    </row>
    <row r="357" spans="1:11">
      <c r="A357"/>
      <c r="B357"/>
      <c r="C357"/>
      <c r="D357"/>
      <c r="E357"/>
      <c r="F357"/>
      <c r="G357"/>
      <c r="H357"/>
      <c r="I357"/>
      <c r="J357"/>
      <c r="K357"/>
    </row>
    <row r="358" spans="1:11">
      <c r="A358"/>
      <c r="B358"/>
      <c r="C358"/>
      <c r="D358"/>
      <c r="E358"/>
      <c r="F358"/>
      <c r="G358"/>
      <c r="H358"/>
      <c r="I358"/>
      <c r="J358"/>
      <c r="K358"/>
    </row>
    <row r="359" spans="1:11">
      <c r="A359"/>
      <c r="B359"/>
      <c r="C359"/>
      <c r="D359"/>
      <c r="E359"/>
      <c r="F359"/>
      <c r="G359"/>
      <c r="H359"/>
      <c r="I359"/>
      <c r="J359"/>
      <c r="K359"/>
    </row>
    <row r="360" spans="1:11">
      <c r="A360"/>
      <c r="B360"/>
      <c r="C360"/>
      <c r="D360"/>
      <c r="E360"/>
      <c r="F360"/>
      <c r="G360"/>
      <c r="H360"/>
      <c r="I360"/>
      <c r="J360"/>
      <c r="K360"/>
    </row>
    <row r="361" spans="1:11">
      <c r="A361"/>
      <c r="B361"/>
      <c r="C361"/>
      <c r="D361"/>
      <c r="E361"/>
      <c r="F361"/>
      <c r="G361"/>
      <c r="H361"/>
      <c r="I361"/>
      <c r="J361"/>
      <c r="K361"/>
    </row>
    <row r="362" spans="1:11">
      <c r="A362"/>
      <c r="B362"/>
      <c r="C362"/>
      <c r="D362"/>
      <c r="E362"/>
      <c r="F362"/>
      <c r="G362"/>
      <c r="H362"/>
      <c r="I362"/>
      <c r="J362"/>
      <c r="K362"/>
    </row>
    <row r="363" spans="1:11">
      <c r="A363"/>
      <c r="B363"/>
      <c r="C363"/>
      <c r="D363"/>
      <c r="E363"/>
      <c r="F363"/>
      <c r="G363"/>
      <c r="H363"/>
      <c r="I363"/>
      <c r="J363"/>
      <c r="K363"/>
    </row>
    <row r="364" spans="1:11">
      <c r="A364"/>
      <c r="B364"/>
      <c r="C364"/>
      <c r="D364"/>
      <c r="E364"/>
      <c r="F364"/>
      <c r="G364"/>
      <c r="H364"/>
      <c r="I364"/>
      <c r="J364"/>
      <c r="K364"/>
    </row>
    <row r="365" spans="1:11">
      <c r="A365"/>
      <c r="B365"/>
      <c r="C365"/>
      <c r="D365"/>
      <c r="E365"/>
      <c r="F365"/>
      <c r="G365"/>
      <c r="H365"/>
      <c r="I365"/>
      <c r="J365"/>
      <c r="K365"/>
    </row>
    <row r="366" spans="1:11">
      <c r="A366"/>
      <c r="B366"/>
      <c r="C366"/>
      <c r="D366"/>
      <c r="E366"/>
      <c r="F366"/>
      <c r="G366"/>
      <c r="H366"/>
      <c r="I366"/>
      <c r="J366"/>
      <c r="K366"/>
    </row>
    <row r="367" spans="1:11">
      <c r="A367"/>
      <c r="B367"/>
      <c r="C367"/>
      <c r="D367"/>
      <c r="E367"/>
      <c r="F367"/>
      <c r="G367"/>
      <c r="H367"/>
      <c r="I367"/>
      <c r="J367"/>
      <c r="K367"/>
    </row>
    <row r="368" spans="1:11">
      <c r="A368"/>
      <c r="B368"/>
      <c r="C368"/>
      <c r="D368"/>
      <c r="E368"/>
      <c r="F368"/>
      <c r="G368"/>
      <c r="H368"/>
      <c r="I368"/>
      <c r="J368"/>
      <c r="K368"/>
    </row>
    <row r="369" spans="1:11">
      <c r="A369"/>
      <c r="B369"/>
      <c r="C369"/>
      <c r="D369"/>
      <c r="E369"/>
      <c r="F369"/>
      <c r="G369"/>
      <c r="H369"/>
      <c r="I369"/>
      <c r="J369"/>
      <c r="K369"/>
    </row>
    <row r="370" spans="1:11">
      <c r="A370"/>
      <c r="B370"/>
      <c r="C370"/>
      <c r="D370"/>
      <c r="E370"/>
      <c r="F370"/>
      <c r="G370"/>
      <c r="H370"/>
      <c r="I370"/>
      <c r="J370"/>
      <c r="K370"/>
    </row>
    <row r="371" spans="1:11">
      <c r="A371"/>
      <c r="B371"/>
      <c r="C371"/>
      <c r="D371"/>
      <c r="E371"/>
      <c r="F371"/>
      <c r="G371"/>
      <c r="H371"/>
      <c r="I371"/>
      <c r="J371"/>
      <c r="K371"/>
    </row>
    <row r="372" spans="1:11">
      <c r="A372"/>
      <c r="B372"/>
      <c r="C372"/>
      <c r="D372"/>
      <c r="E372"/>
      <c r="F372"/>
      <c r="G372"/>
      <c r="H372"/>
      <c r="I372"/>
      <c r="J372"/>
      <c r="K372"/>
    </row>
    <row r="373" spans="1:11">
      <c r="A373"/>
      <c r="B373"/>
      <c r="C373"/>
      <c r="D373"/>
      <c r="E373"/>
      <c r="F373"/>
      <c r="G373"/>
      <c r="H373"/>
      <c r="I373"/>
      <c r="J373"/>
      <c r="K373"/>
    </row>
    <row r="374" spans="1:11">
      <c r="A374"/>
      <c r="B374"/>
      <c r="C374"/>
      <c r="D374"/>
      <c r="E374"/>
      <c r="F374"/>
      <c r="G374"/>
      <c r="H374"/>
      <c r="I374"/>
      <c r="J374"/>
      <c r="K374"/>
    </row>
    <row r="375" spans="1:11">
      <c r="A375"/>
      <c r="B375"/>
      <c r="C375"/>
      <c r="D375"/>
      <c r="E375"/>
      <c r="F375"/>
      <c r="G375"/>
      <c r="H375"/>
      <c r="I375"/>
      <c r="J375"/>
      <c r="K375"/>
    </row>
    <row r="376" spans="1:11">
      <c r="A376"/>
      <c r="B376"/>
      <c r="C376"/>
      <c r="D376"/>
      <c r="E376"/>
      <c r="F376"/>
      <c r="G376"/>
      <c r="H376"/>
      <c r="I376"/>
      <c r="J376"/>
      <c r="K376"/>
    </row>
    <row r="377" spans="1:11">
      <c r="A377"/>
      <c r="B377"/>
      <c r="C377"/>
      <c r="D377"/>
      <c r="E377"/>
      <c r="F377"/>
      <c r="G377"/>
      <c r="H377"/>
      <c r="I377"/>
      <c r="J377"/>
      <c r="K377"/>
    </row>
    <row r="378" spans="1:11">
      <c r="A378"/>
      <c r="B378"/>
      <c r="C378"/>
      <c r="D378"/>
      <c r="E378"/>
      <c r="F378"/>
      <c r="G378"/>
      <c r="H378"/>
      <c r="I378"/>
      <c r="J378"/>
      <c r="K378"/>
    </row>
    <row r="379" spans="1:11">
      <c r="A379"/>
      <c r="B379"/>
      <c r="C379"/>
      <c r="D379"/>
      <c r="E379"/>
      <c r="F379"/>
      <c r="G379"/>
      <c r="H379"/>
      <c r="I379"/>
      <c r="J379"/>
      <c r="K379"/>
    </row>
    <row r="380" spans="1:11">
      <c r="A380"/>
      <c r="B380"/>
      <c r="C380"/>
      <c r="D380"/>
      <c r="E380"/>
      <c r="F380"/>
      <c r="G380"/>
      <c r="H380"/>
      <c r="I380"/>
      <c r="J380"/>
      <c r="K380"/>
    </row>
    <row r="381" spans="1:11">
      <c r="A381"/>
      <c r="B381"/>
      <c r="C381"/>
      <c r="D381"/>
      <c r="E381"/>
      <c r="F381"/>
      <c r="G381"/>
      <c r="H381"/>
      <c r="I381"/>
      <c r="J381"/>
      <c r="K381"/>
    </row>
    <row r="382" spans="1:11">
      <c r="A382"/>
      <c r="B382"/>
      <c r="C382"/>
      <c r="D382"/>
      <c r="E382"/>
      <c r="F382"/>
      <c r="G382"/>
      <c r="H382"/>
      <c r="I382"/>
      <c r="J382"/>
      <c r="K382"/>
    </row>
    <row r="383" spans="1:11">
      <c r="A383"/>
      <c r="B383"/>
      <c r="C383"/>
      <c r="D383"/>
      <c r="E383"/>
      <c r="F383"/>
      <c r="G383"/>
      <c r="H383"/>
      <c r="I383"/>
      <c r="J383"/>
      <c r="K383"/>
    </row>
    <row r="384" spans="1:11">
      <c r="A384"/>
      <c r="B384"/>
      <c r="C384"/>
      <c r="D384"/>
      <c r="E384"/>
      <c r="F384"/>
      <c r="G384"/>
      <c r="H384"/>
      <c r="I384"/>
      <c r="J384"/>
      <c r="K384"/>
    </row>
    <row r="385" spans="1:11">
      <c r="A385"/>
      <c r="B385"/>
      <c r="C385"/>
      <c r="D385"/>
      <c r="E385"/>
      <c r="F385"/>
      <c r="G385"/>
      <c r="H385"/>
      <c r="I385"/>
      <c r="J385"/>
      <c r="K385"/>
    </row>
    <row r="386" spans="1:11">
      <c r="A386"/>
      <c r="B386"/>
      <c r="C386"/>
      <c r="D386"/>
      <c r="E386"/>
      <c r="F386"/>
      <c r="G386"/>
      <c r="H386"/>
      <c r="I386"/>
      <c r="J386"/>
      <c r="K386"/>
    </row>
    <row r="387" spans="1:11">
      <c r="A387"/>
      <c r="B387"/>
      <c r="C387"/>
      <c r="D387"/>
      <c r="E387"/>
      <c r="F387"/>
      <c r="G387"/>
      <c r="H387"/>
      <c r="I387"/>
      <c r="J387"/>
      <c r="K387"/>
    </row>
    <row r="388" spans="1:11">
      <c r="A388"/>
      <c r="B388"/>
      <c r="C388"/>
      <c r="D388"/>
      <c r="E388"/>
      <c r="F388"/>
      <c r="G388"/>
      <c r="H388"/>
      <c r="I388"/>
      <c r="J388"/>
      <c r="K388"/>
    </row>
    <row r="389" spans="1:11">
      <c r="A389"/>
      <c r="B389"/>
      <c r="C389"/>
      <c r="D389"/>
      <c r="E389"/>
      <c r="F389"/>
      <c r="G389"/>
      <c r="H389"/>
      <c r="I389"/>
      <c r="J389"/>
      <c r="K389"/>
    </row>
    <row r="390" spans="1:11">
      <c r="A390"/>
      <c r="B390"/>
      <c r="C390"/>
      <c r="D390"/>
      <c r="E390"/>
      <c r="F390"/>
      <c r="G390"/>
      <c r="H390"/>
      <c r="I390"/>
      <c r="J390"/>
      <c r="K390"/>
    </row>
    <row r="391" spans="1:11">
      <c r="A391"/>
      <c r="B391"/>
      <c r="C391"/>
      <c r="D391"/>
      <c r="E391"/>
      <c r="F391"/>
      <c r="G391"/>
      <c r="H391"/>
      <c r="I391"/>
      <c r="J391"/>
      <c r="K391"/>
    </row>
    <row r="392" spans="1:11">
      <c r="A392"/>
      <c r="B392"/>
      <c r="C392"/>
      <c r="D392"/>
      <c r="E392"/>
      <c r="F392"/>
      <c r="G392"/>
      <c r="H392"/>
      <c r="I392"/>
      <c r="J392"/>
      <c r="K392"/>
    </row>
    <row r="393" spans="1:11">
      <c r="A393"/>
      <c r="B393"/>
      <c r="C393"/>
      <c r="D393"/>
      <c r="E393"/>
      <c r="F393"/>
      <c r="G393"/>
      <c r="H393"/>
      <c r="I393"/>
      <c r="J393"/>
      <c r="K393"/>
    </row>
    <row r="394" spans="1:11">
      <c r="A394"/>
      <c r="B394"/>
      <c r="C394"/>
      <c r="D394"/>
      <c r="E394"/>
      <c r="F394"/>
      <c r="G394"/>
      <c r="H394"/>
      <c r="I394"/>
      <c r="J394"/>
      <c r="K394"/>
    </row>
    <row r="395" spans="1:11">
      <c r="A395"/>
      <c r="B395"/>
      <c r="C395"/>
      <c r="D395"/>
      <c r="E395"/>
      <c r="F395"/>
      <c r="G395"/>
      <c r="H395"/>
      <c r="I395"/>
      <c r="J395"/>
      <c r="K395"/>
    </row>
    <row r="396" spans="1:11">
      <c r="A396"/>
      <c r="B396"/>
      <c r="C396"/>
      <c r="D396"/>
      <c r="E396"/>
      <c r="F396"/>
      <c r="G396"/>
      <c r="H396"/>
      <c r="I396"/>
      <c r="J396"/>
      <c r="K396"/>
    </row>
    <row r="397" spans="1:11">
      <c r="A397"/>
      <c r="B397"/>
      <c r="C397"/>
      <c r="D397"/>
      <c r="E397"/>
      <c r="F397"/>
      <c r="G397"/>
      <c r="H397"/>
      <c r="I397"/>
      <c r="J397"/>
      <c r="K397"/>
    </row>
    <row r="398" spans="1:11">
      <c r="A398"/>
      <c r="B398"/>
      <c r="C398"/>
      <c r="D398"/>
      <c r="E398"/>
      <c r="F398"/>
      <c r="G398"/>
      <c r="H398"/>
      <c r="I398"/>
      <c r="J398"/>
      <c r="K398"/>
    </row>
    <row r="399" spans="1:11">
      <c r="A399"/>
      <c r="B399"/>
      <c r="C399"/>
      <c r="D399"/>
      <c r="E399"/>
      <c r="F399"/>
      <c r="G399"/>
      <c r="H399"/>
      <c r="I399"/>
      <c r="J399"/>
      <c r="K399"/>
    </row>
    <row r="400" spans="1:11">
      <c r="A400"/>
      <c r="B400"/>
      <c r="C400"/>
      <c r="D400"/>
      <c r="E400"/>
      <c r="F400"/>
      <c r="G400"/>
      <c r="H400"/>
      <c r="I400"/>
      <c r="J400"/>
      <c r="K400"/>
    </row>
    <row r="401" spans="1:11">
      <c r="A401"/>
      <c r="B401"/>
      <c r="C401"/>
      <c r="D401"/>
      <c r="E401"/>
      <c r="F401"/>
      <c r="G401"/>
      <c r="H401"/>
      <c r="I401"/>
      <c r="J401"/>
      <c r="K401"/>
    </row>
    <row r="402" spans="1:11">
      <c r="A402"/>
      <c r="B402"/>
      <c r="C402"/>
      <c r="D402"/>
      <c r="E402"/>
      <c r="F402"/>
      <c r="G402"/>
      <c r="H402"/>
      <c r="I402"/>
      <c r="J402"/>
      <c r="K402"/>
    </row>
    <row r="403" spans="1:11">
      <c r="A403"/>
      <c r="B403"/>
      <c r="C403"/>
      <c r="D403"/>
      <c r="E403"/>
      <c r="F403"/>
      <c r="G403"/>
      <c r="H403"/>
      <c r="I403"/>
      <c r="J403"/>
      <c r="K403"/>
    </row>
    <row r="404" spans="1:11">
      <c r="A404"/>
      <c r="B404"/>
      <c r="C404"/>
      <c r="D404"/>
      <c r="E404"/>
      <c r="F404"/>
      <c r="G404"/>
      <c r="H404"/>
      <c r="I404"/>
      <c r="J404"/>
      <c r="K404"/>
    </row>
    <row r="405" spans="1:11">
      <c r="A405"/>
      <c r="B405"/>
      <c r="C405"/>
      <c r="D405"/>
      <c r="E405"/>
      <c r="F405"/>
      <c r="G405"/>
      <c r="H405"/>
      <c r="I405"/>
      <c r="J405"/>
      <c r="K405"/>
    </row>
    <row r="406" spans="1:11">
      <c r="A406"/>
      <c r="B406"/>
      <c r="C406"/>
      <c r="D406"/>
      <c r="E406"/>
      <c r="F406"/>
      <c r="G406"/>
      <c r="H406"/>
      <c r="I406"/>
      <c r="J406"/>
      <c r="K406"/>
    </row>
    <row r="407" spans="1:11">
      <c r="A407"/>
      <c r="B407"/>
      <c r="C407"/>
      <c r="D407"/>
      <c r="E407"/>
      <c r="F407"/>
      <c r="G407"/>
      <c r="H407"/>
      <c r="I407"/>
      <c r="J407"/>
      <c r="K407"/>
    </row>
    <row r="408" spans="1:11">
      <c r="A408"/>
      <c r="B408"/>
      <c r="C408"/>
      <c r="D408"/>
      <c r="E408"/>
      <c r="F408"/>
      <c r="G408"/>
      <c r="H408"/>
      <c r="I408"/>
      <c r="J408"/>
      <c r="K408"/>
    </row>
    <row r="409" spans="1:11">
      <c r="A409"/>
      <c r="B409"/>
      <c r="C409"/>
      <c r="D409"/>
      <c r="E409"/>
      <c r="F409"/>
      <c r="G409"/>
      <c r="H409"/>
      <c r="I409"/>
      <c r="J409"/>
      <c r="K409"/>
    </row>
    <row r="410" spans="1:11">
      <c r="A410"/>
      <c r="B410"/>
      <c r="C410"/>
      <c r="D410"/>
      <c r="E410"/>
      <c r="F410"/>
      <c r="G410"/>
      <c r="H410"/>
      <c r="I410"/>
      <c r="J410"/>
      <c r="K410"/>
    </row>
    <row r="411" spans="1:11">
      <c r="A411"/>
      <c r="B411"/>
      <c r="C411"/>
      <c r="D411"/>
      <c r="E411"/>
      <c r="F411"/>
      <c r="G411"/>
      <c r="H411"/>
      <c r="I411"/>
      <c r="J411"/>
      <c r="K411"/>
    </row>
    <row r="412" spans="1:11">
      <c r="A412"/>
      <c r="B412"/>
      <c r="C412"/>
      <c r="D412"/>
      <c r="E412"/>
      <c r="F412"/>
      <c r="G412"/>
      <c r="H412"/>
      <c r="I412"/>
      <c r="J412"/>
      <c r="K412"/>
    </row>
    <row r="413" spans="1:11">
      <c r="A413"/>
      <c r="B413"/>
      <c r="C413"/>
      <c r="D413"/>
      <c r="E413"/>
      <c r="F413"/>
      <c r="G413"/>
      <c r="H413"/>
      <c r="I413"/>
      <c r="J413"/>
      <c r="K413"/>
    </row>
    <row r="414" spans="1:11">
      <c r="A414"/>
      <c r="B414"/>
      <c r="C414"/>
      <c r="D414"/>
      <c r="E414"/>
      <c r="F414"/>
      <c r="G414"/>
      <c r="H414"/>
      <c r="I414"/>
      <c r="J414"/>
      <c r="K414"/>
    </row>
    <row r="415" spans="1:11">
      <c r="A415"/>
      <c r="B415"/>
      <c r="C415"/>
      <c r="D415"/>
      <c r="E415"/>
      <c r="F415"/>
      <c r="G415"/>
      <c r="H415"/>
      <c r="I415"/>
      <c r="J415"/>
      <c r="K415"/>
    </row>
    <row r="416" spans="1:11">
      <c r="A416"/>
      <c r="B416"/>
      <c r="C416"/>
      <c r="D416"/>
      <c r="E416"/>
      <c r="F416"/>
      <c r="G416"/>
      <c r="H416"/>
      <c r="I416"/>
      <c r="J416"/>
      <c r="K416"/>
    </row>
    <row r="417" spans="1:11">
      <c r="A417"/>
      <c r="B417"/>
      <c r="C417"/>
      <c r="D417"/>
      <c r="E417"/>
      <c r="F417"/>
      <c r="G417"/>
      <c r="H417"/>
      <c r="I417"/>
      <c r="J417"/>
      <c r="K417"/>
    </row>
    <row r="418" spans="1:11">
      <c r="A418"/>
      <c r="B418"/>
      <c r="C418"/>
      <c r="D418"/>
      <c r="E418"/>
      <c r="F418"/>
      <c r="G418"/>
      <c r="H418"/>
      <c r="I418"/>
      <c r="J418"/>
      <c r="K418"/>
    </row>
    <row r="419" spans="1:11">
      <c r="A419"/>
      <c r="B419"/>
      <c r="C419"/>
      <c r="D419"/>
      <c r="E419"/>
      <c r="F419"/>
      <c r="G419"/>
      <c r="H419"/>
      <c r="I419"/>
      <c r="J419"/>
      <c r="K419"/>
    </row>
    <row r="420" spans="1:11">
      <c r="A420"/>
      <c r="B420"/>
      <c r="C420"/>
      <c r="D420"/>
      <c r="E420"/>
      <c r="F420"/>
      <c r="G420"/>
      <c r="H420"/>
      <c r="I420"/>
      <c r="J420"/>
      <c r="K420"/>
    </row>
    <row r="421" spans="1:11">
      <c r="A421"/>
      <c r="B421"/>
      <c r="C421"/>
      <c r="D421"/>
      <c r="E421"/>
      <c r="F421"/>
      <c r="G421"/>
      <c r="H421"/>
      <c r="I421"/>
      <c r="J421"/>
      <c r="K421"/>
    </row>
    <row r="422" spans="1:11">
      <c r="A422"/>
      <c r="B422"/>
      <c r="C422"/>
      <c r="D422"/>
      <c r="E422"/>
      <c r="F422"/>
      <c r="G422"/>
      <c r="H422"/>
      <c r="I422"/>
      <c r="J422"/>
      <c r="K422"/>
    </row>
    <row r="423" spans="1:11">
      <c r="A423"/>
      <c r="B423"/>
      <c r="C423"/>
      <c r="D423"/>
      <c r="E423"/>
      <c r="F423"/>
      <c r="G423"/>
      <c r="H423"/>
      <c r="I423"/>
      <c r="J423"/>
      <c r="K423"/>
    </row>
    <row r="424" spans="1:11">
      <c r="A424"/>
      <c r="B424"/>
      <c r="C424"/>
      <c r="D424"/>
      <c r="E424"/>
      <c r="F424"/>
      <c r="G424"/>
      <c r="H424"/>
      <c r="I424"/>
      <c r="J424"/>
      <c r="K424"/>
    </row>
    <row r="425" spans="1:11">
      <c r="A425"/>
      <c r="B425"/>
      <c r="C425"/>
      <c r="D425"/>
      <c r="E425"/>
      <c r="F425"/>
      <c r="G425"/>
      <c r="H425"/>
      <c r="I425"/>
      <c r="J425"/>
      <c r="K425"/>
    </row>
    <row r="426" spans="1:11">
      <c r="A426"/>
      <c r="B426"/>
      <c r="C426"/>
      <c r="D426"/>
      <c r="E426"/>
      <c r="F426"/>
      <c r="G426"/>
      <c r="H426"/>
      <c r="I426"/>
      <c r="J426"/>
      <c r="K426"/>
    </row>
    <row r="427" spans="1:11">
      <c r="A427"/>
      <c r="B427"/>
      <c r="C427"/>
      <c r="D427"/>
      <c r="E427"/>
      <c r="F427"/>
      <c r="G427"/>
      <c r="H427"/>
      <c r="I427"/>
      <c r="J427"/>
      <c r="K427"/>
    </row>
    <row r="428" spans="1:11">
      <c r="A428"/>
      <c r="B428"/>
      <c r="C428"/>
      <c r="D428"/>
      <c r="E428"/>
      <c r="F428"/>
      <c r="G428"/>
      <c r="H428"/>
      <c r="I428"/>
      <c r="J428"/>
      <c r="K428"/>
    </row>
    <row r="429" spans="1:11">
      <c r="A429"/>
      <c r="B429"/>
      <c r="C429"/>
      <c r="D429"/>
      <c r="E429"/>
      <c r="F429"/>
      <c r="G429"/>
      <c r="H429"/>
      <c r="I429"/>
      <c r="J429"/>
      <c r="K429"/>
    </row>
    <row r="430" spans="1:11">
      <c r="A430"/>
      <c r="B430"/>
      <c r="C430"/>
      <c r="D430"/>
      <c r="E430"/>
      <c r="F430"/>
      <c r="G430"/>
      <c r="H430"/>
      <c r="I430"/>
      <c r="J430"/>
      <c r="K430"/>
    </row>
    <row r="431" spans="1:11">
      <c r="A431"/>
      <c r="B431"/>
      <c r="C431"/>
      <c r="D431"/>
      <c r="E431"/>
      <c r="F431"/>
      <c r="G431"/>
      <c r="H431"/>
      <c r="I431"/>
      <c r="J431"/>
      <c r="K431"/>
    </row>
    <row r="432" spans="1:11">
      <c r="A432"/>
      <c r="B432"/>
      <c r="C432"/>
      <c r="D432"/>
      <c r="E432"/>
      <c r="F432"/>
      <c r="G432"/>
      <c r="H432"/>
      <c r="I432"/>
      <c r="J432"/>
      <c r="K432"/>
    </row>
    <row r="433" spans="1:11">
      <c r="A433"/>
      <c r="B433"/>
      <c r="C433"/>
      <c r="D433"/>
      <c r="E433"/>
      <c r="F433"/>
      <c r="G433"/>
      <c r="H433"/>
      <c r="I433"/>
      <c r="J433"/>
      <c r="K433"/>
    </row>
    <row r="434" spans="1:11">
      <c r="A434"/>
      <c r="B434"/>
      <c r="C434"/>
      <c r="D434"/>
      <c r="E434"/>
      <c r="F434"/>
      <c r="G434"/>
      <c r="H434"/>
      <c r="I434"/>
      <c r="J434"/>
      <c r="K434"/>
    </row>
    <row r="435" spans="1:11">
      <c r="A435"/>
      <c r="B435"/>
      <c r="C435"/>
      <c r="D435"/>
      <c r="E435"/>
      <c r="F435"/>
      <c r="G435"/>
      <c r="H435"/>
      <c r="I435"/>
      <c r="J435"/>
      <c r="K435"/>
    </row>
    <row r="436" spans="1:11">
      <c r="A436"/>
      <c r="B436"/>
      <c r="C436"/>
      <c r="D436"/>
      <c r="E436"/>
      <c r="F436"/>
      <c r="G436"/>
      <c r="H436"/>
      <c r="I436"/>
      <c r="J436"/>
      <c r="K436"/>
    </row>
    <row r="437" spans="1:11">
      <c r="A437"/>
      <c r="B437"/>
      <c r="C437"/>
      <c r="D437"/>
      <c r="E437"/>
      <c r="F437"/>
      <c r="G437"/>
      <c r="H437"/>
      <c r="I437"/>
      <c r="J437"/>
      <c r="K437"/>
    </row>
    <row r="438" spans="1:11">
      <c r="A438"/>
      <c r="B438"/>
      <c r="C438"/>
      <c r="D438"/>
      <c r="E438"/>
      <c r="F438"/>
      <c r="G438"/>
      <c r="H438"/>
      <c r="I438"/>
      <c r="J438"/>
      <c r="K438"/>
    </row>
    <row r="439" spans="1:11">
      <c r="A439"/>
      <c r="B439"/>
      <c r="C439"/>
      <c r="D439"/>
      <c r="E439"/>
      <c r="F439"/>
      <c r="G439"/>
      <c r="H439"/>
      <c r="I439"/>
      <c r="J439"/>
      <c r="K439"/>
    </row>
    <row r="440" spans="1:11">
      <c r="A440"/>
      <c r="B440"/>
      <c r="C440"/>
      <c r="D440"/>
      <c r="E440"/>
      <c r="F440"/>
      <c r="G440"/>
      <c r="H440"/>
      <c r="I440"/>
      <c r="J440"/>
      <c r="K440"/>
    </row>
    <row r="441" spans="1:11">
      <c r="A441"/>
      <c r="B441"/>
      <c r="C441"/>
      <c r="D441"/>
      <c r="E441"/>
      <c r="F441"/>
      <c r="G441"/>
      <c r="H441"/>
      <c r="I441"/>
      <c r="J441"/>
      <c r="K441"/>
    </row>
    <row r="442" spans="1:11">
      <c r="A442"/>
      <c r="B442"/>
      <c r="C442"/>
      <c r="D442"/>
      <c r="E442"/>
      <c r="F442"/>
      <c r="G442"/>
      <c r="H442"/>
      <c r="I442"/>
      <c r="J442"/>
      <c r="K442"/>
    </row>
    <row r="443" spans="1:11">
      <c r="A443"/>
      <c r="B443"/>
      <c r="C443"/>
      <c r="D443"/>
      <c r="E443"/>
      <c r="F443"/>
      <c r="G443"/>
      <c r="H443"/>
      <c r="I443"/>
      <c r="J443"/>
      <c r="K443"/>
    </row>
    <row r="444" spans="1:11">
      <c r="A444"/>
      <c r="B444"/>
      <c r="C444"/>
      <c r="D444"/>
      <c r="E444"/>
      <c r="F444"/>
      <c r="G444"/>
      <c r="H444"/>
      <c r="I444"/>
      <c r="J444"/>
      <c r="K444"/>
    </row>
    <row r="445" spans="1:11">
      <c r="A445"/>
      <c r="B445"/>
      <c r="C445"/>
      <c r="D445"/>
      <c r="E445"/>
      <c r="F445"/>
      <c r="G445"/>
      <c r="H445"/>
      <c r="I445"/>
      <c r="J445"/>
      <c r="K445"/>
    </row>
    <row r="446" spans="1:11">
      <c r="A446"/>
      <c r="B446"/>
      <c r="C446"/>
      <c r="D446"/>
      <c r="E446"/>
      <c r="F446"/>
      <c r="G446"/>
      <c r="H446"/>
      <c r="I446"/>
      <c r="J446"/>
      <c r="K446"/>
    </row>
    <row r="447" spans="1:11">
      <c r="A447"/>
      <c r="B447"/>
      <c r="C447"/>
      <c r="D447"/>
      <c r="E447"/>
      <c r="F447"/>
      <c r="G447"/>
      <c r="H447"/>
      <c r="I447"/>
      <c r="J447"/>
      <c r="K447"/>
    </row>
    <row r="448" spans="1:11">
      <c r="A448"/>
      <c r="B448"/>
      <c r="C448"/>
      <c r="D448"/>
      <c r="E448"/>
      <c r="F448"/>
      <c r="G448"/>
      <c r="H448"/>
      <c r="I448"/>
      <c r="J448"/>
      <c r="K448"/>
    </row>
    <row r="449" spans="1:11">
      <c r="A449"/>
      <c r="B449"/>
      <c r="C449"/>
      <c r="D449"/>
      <c r="E449"/>
      <c r="F449"/>
      <c r="G449"/>
      <c r="H449"/>
      <c r="I449"/>
      <c r="J449"/>
      <c r="K449"/>
    </row>
    <row r="450" spans="1:11">
      <c r="A450"/>
      <c r="B450"/>
      <c r="C450"/>
      <c r="D450"/>
      <c r="E450"/>
      <c r="F450"/>
      <c r="G450"/>
      <c r="H450"/>
      <c r="I450"/>
      <c r="J450"/>
      <c r="K450"/>
    </row>
    <row r="451" spans="1:11">
      <c r="A451"/>
      <c r="B451"/>
      <c r="C451"/>
      <c r="D451"/>
      <c r="E451"/>
      <c r="F451"/>
      <c r="G451"/>
      <c r="H451"/>
      <c r="I451"/>
      <c r="J451"/>
      <c r="K451"/>
    </row>
    <row r="452" spans="1:11">
      <c r="A452"/>
      <c r="B452"/>
      <c r="C452"/>
      <c r="D452"/>
      <c r="E452"/>
      <c r="F452"/>
      <c r="G452"/>
      <c r="H452"/>
      <c r="I452"/>
      <c r="J452"/>
      <c r="K452"/>
    </row>
    <row r="453" spans="1:11">
      <c r="A453"/>
      <c r="B453"/>
      <c r="C453"/>
      <c r="D453"/>
      <c r="E453"/>
      <c r="F453"/>
      <c r="G453"/>
      <c r="H453"/>
      <c r="I453"/>
      <c r="J453"/>
      <c r="K453"/>
    </row>
    <row r="454" spans="1:11">
      <c r="A454"/>
      <c r="B454"/>
      <c r="C454"/>
      <c r="D454"/>
      <c r="E454"/>
      <c r="F454"/>
      <c r="G454"/>
      <c r="H454"/>
      <c r="I454"/>
      <c r="J454"/>
      <c r="K454"/>
    </row>
    <row r="455" spans="1:11">
      <c r="A455"/>
      <c r="B455"/>
      <c r="C455"/>
      <c r="D455"/>
      <c r="E455"/>
      <c r="F455"/>
      <c r="G455"/>
      <c r="H455"/>
      <c r="I455"/>
      <c r="J455"/>
      <c r="K455"/>
    </row>
    <row r="456" spans="1:11">
      <c r="A456"/>
      <c r="B456"/>
      <c r="C456"/>
      <c r="D456"/>
      <c r="E456"/>
      <c r="F456"/>
      <c r="G456"/>
      <c r="H456"/>
      <c r="I456"/>
      <c r="J456"/>
      <c r="K456"/>
    </row>
    <row r="457" spans="1:11">
      <c r="A457"/>
      <c r="B457"/>
      <c r="C457"/>
      <c r="D457"/>
      <c r="E457"/>
      <c r="F457"/>
      <c r="G457"/>
      <c r="H457"/>
      <c r="I457"/>
      <c r="J457"/>
      <c r="K457"/>
    </row>
    <row r="458" spans="1:11">
      <c r="A458"/>
      <c r="B458"/>
      <c r="C458"/>
      <c r="D458"/>
      <c r="E458"/>
      <c r="F458"/>
      <c r="G458"/>
      <c r="H458"/>
      <c r="I458"/>
      <c r="J458"/>
      <c r="K458"/>
    </row>
    <row r="459" spans="1:11">
      <c r="A459"/>
      <c r="B459"/>
      <c r="C459"/>
      <c r="D459"/>
      <c r="E459"/>
      <c r="F459"/>
      <c r="G459"/>
      <c r="H459"/>
      <c r="I459"/>
      <c r="J459"/>
      <c r="K459"/>
    </row>
    <row r="460" spans="1:11">
      <c r="A460"/>
      <c r="B460"/>
      <c r="C460"/>
      <c r="D460"/>
      <c r="E460"/>
      <c r="F460"/>
      <c r="G460"/>
      <c r="H460"/>
      <c r="I460"/>
      <c r="J460"/>
      <c r="K460"/>
    </row>
    <row r="461" spans="1:11">
      <c r="A461"/>
      <c r="B461"/>
      <c r="C461"/>
      <c r="D461"/>
      <c r="E461"/>
      <c r="F461"/>
      <c r="G461"/>
      <c r="H461"/>
      <c r="I461"/>
      <c r="J461"/>
      <c r="K461"/>
    </row>
    <row r="462" spans="1:11">
      <c r="A462"/>
      <c r="B462"/>
      <c r="C462"/>
      <c r="D462"/>
      <c r="E462"/>
      <c r="F462"/>
      <c r="G462"/>
      <c r="H462"/>
      <c r="I462"/>
      <c r="J462"/>
      <c r="K462"/>
    </row>
    <row r="463" spans="1:11">
      <c r="A463"/>
      <c r="B463"/>
      <c r="C463"/>
      <c r="D463"/>
      <c r="E463"/>
      <c r="F463"/>
      <c r="G463"/>
      <c r="H463"/>
      <c r="I463"/>
      <c r="J463"/>
      <c r="K463"/>
    </row>
    <row r="464" spans="1:11">
      <c r="A464"/>
      <c r="B464"/>
      <c r="C464"/>
      <c r="D464"/>
      <c r="E464"/>
      <c r="F464"/>
      <c r="G464"/>
      <c r="H464"/>
      <c r="I464"/>
      <c r="J464"/>
      <c r="K464"/>
    </row>
    <row r="465" spans="1:11">
      <c r="A465"/>
      <c r="B465"/>
      <c r="C465"/>
      <c r="D465"/>
      <c r="E465"/>
      <c r="F465"/>
      <c r="G465"/>
      <c r="H465"/>
      <c r="I465"/>
      <c r="J465"/>
      <c r="K465"/>
    </row>
    <row r="466" spans="1:11">
      <c r="A466"/>
      <c r="B466"/>
      <c r="C466"/>
      <c r="D466"/>
      <c r="E466"/>
      <c r="F466"/>
      <c r="G466"/>
      <c r="H466"/>
      <c r="I466"/>
      <c r="J466"/>
      <c r="K466"/>
    </row>
    <row r="467" spans="1:11">
      <c r="A467"/>
      <c r="B467"/>
      <c r="C467"/>
      <c r="D467"/>
      <c r="E467"/>
      <c r="F467"/>
      <c r="G467"/>
      <c r="H467"/>
      <c r="I467"/>
      <c r="J467"/>
      <c r="K467"/>
    </row>
    <row r="468" spans="1:11">
      <c r="A468"/>
      <c r="B468"/>
      <c r="C468"/>
      <c r="D468"/>
      <c r="E468"/>
      <c r="F468"/>
      <c r="G468"/>
      <c r="H468"/>
      <c r="I468"/>
      <c r="J468"/>
      <c r="K468"/>
    </row>
    <row r="469" spans="1:11">
      <c r="A469"/>
      <c r="B469"/>
      <c r="C469"/>
      <c r="D469"/>
      <c r="E469"/>
      <c r="F469"/>
      <c r="G469"/>
      <c r="H469"/>
      <c r="I469"/>
      <c r="J469"/>
      <c r="K469"/>
    </row>
    <row r="470" spans="1:11">
      <c r="A470"/>
      <c r="B470"/>
      <c r="C470"/>
      <c r="D470"/>
      <c r="E470"/>
      <c r="F470"/>
      <c r="G470"/>
      <c r="H470"/>
      <c r="I470"/>
      <c r="J470"/>
      <c r="K470"/>
    </row>
    <row r="471" spans="1:11">
      <c r="A471"/>
      <c r="B471"/>
      <c r="C471"/>
      <c r="D471"/>
      <c r="E471"/>
      <c r="F471"/>
      <c r="G471"/>
      <c r="H471"/>
      <c r="I471"/>
      <c r="J471"/>
      <c r="K471"/>
    </row>
    <row r="472" spans="1:11">
      <c r="A472"/>
      <c r="B472"/>
      <c r="C472"/>
      <c r="D472"/>
      <c r="E472"/>
      <c r="F472"/>
      <c r="G472"/>
      <c r="H472"/>
      <c r="I472"/>
      <c r="J472"/>
      <c r="K472"/>
    </row>
    <row r="473" spans="1:11">
      <c r="A473"/>
      <c r="B473"/>
      <c r="C473"/>
      <c r="D473"/>
      <c r="E473"/>
      <c r="F473"/>
      <c r="G473"/>
      <c r="H473"/>
      <c r="I473"/>
      <c r="J473"/>
      <c r="K473"/>
    </row>
    <row r="474" spans="1:11">
      <c r="A474"/>
      <c r="B474"/>
      <c r="C474"/>
      <c r="D474"/>
      <c r="E474"/>
      <c r="F474"/>
      <c r="G474"/>
      <c r="H474"/>
      <c r="I474"/>
      <c r="J474"/>
      <c r="K474"/>
    </row>
    <row r="475" spans="1:11">
      <c r="A475"/>
      <c r="B475"/>
      <c r="C475"/>
      <c r="D475"/>
      <c r="E475"/>
      <c r="F475"/>
      <c r="G475"/>
      <c r="H475"/>
      <c r="I475"/>
      <c r="J475"/>
      <c r="K475"/>
    </row>
    <row r="476" spans="1:11">
      <c r="A476"/>
      <c r="B476"/>
      <c r="C476"/>
      <c r="D476"/>
      <c r="E476"/>
      <c r="F476"/>
      <c r="G476"/>
      <c r="H476"/>
      <c r="I476"/>
      <c r="J476"/>
      <c r="K476"/>
    </row>
    <row r="477" spans="1:11">
      <c r="A477"/>
      <c r="B477"/>
      <c r="C477"/>
      <c r="D477"/>
      <c r="E477"/>
      <c r="F477"/>
      <c r="G477"/>
      <c r="H477"/>
      <c r="I477"/>
      <c r="J477"/>
      <c r="K477"/>
    </row>
    <row r="478" spans="1:11">
      <c r="A478"/>
      <c r="B478"/>
      <c r="C478"/>
      <c r="D478"/>
      <c r="E478"/>
      <c r="F478"/>
      <c r="G478"/>
      <c r="H478"/>
      <c r="I478"/>
      <c r="J478"/>
      <c r="K478"/>
    </row>
    <row r="479" spans="1:11">
      <c r="A479"/>
      <c r="B479"/>
      <c r="C479"/>
      <c r="D479"/>
      <c r="E479"/>
      <c r="F479"/>
      <c r="G479"/>
      <c r="H479"/>
      <c r="I479"/>
      <c r="J479"/>
      <c r="K479"/>
    </row>
    <row r="480" spans="1:11">
      <c r="A480"/>
      <c r="B480"/>
      <c r="C480"/>
      <c r="D480"/>
      <c r="E480"/>
      <c r="F480"/>
      <c r="G480"/>
      <c r="H480"/>
      <c r="I480"/>
      <c r="J480"/>
      <c r="K480"/>
    </row>
    <row r="481" spans="1:11">
      <c r="A481"/>
      <c r="B481"/>
      <c r="C481"/>
      <c r="D481"/>
      <c r="E481"/>
      <c r="F481"/>
      <c r="G481"/>
      <c r="H481"/>
      <c r="I481"/>
      <c r="J481"/>
      <c r="K481"/>
    </row>
    <row r="482" spans="1:11">
      <c r="A482"/>
      <c r="B482"/>
      <c r="C482"/>
      <c r="D482"/>
      <c r="E482"/>
      <c r="F482"/>
      <c r="G482"/>
      <c r="H482"/>
      <c r="I482"/>
      <c r="J482"/>
      <c r="K482"/>
    </row>
    <row r="483" spans="1:11">
      <c r="A483"/>
      <c r="B483"/>
      <c r="C483"/>
      <c r="D483"/>
      <c r="E483"/>
      <c r="F483"/>
      <c r="G483"/>
      <c r="H483"/>
      <c r="I483"/>
      <c r="J483"/>
      <c r="K483"/>
    </row>
    <row r="484" spans="1:11">
      <c r="A484"/>
      <c r="B484"/>
      <c r="C484"/>
      <c r="D484"/>
      <c r="E484"/>
      <c r="F484"/>
      <c r="G484"/>
      <c r="H484"/>
      <c r="I484"/>
      <c r="J484"/>
      <c r="K484"/>
    </row>
    <row r="485" spans="1:11">
      <c r="A485"/>
      <c r="B485"/>
      <c r="C485"/>
      <c r="D485"/>
      <c r="E485"/>
      <c r="F485"/>
      <c r="G485"/>
      <c r="H485"/>
      <c r="I485"/>
      <c r="J485"/>
      <c r="K485"/>
    </row>
    <row r="486" spans="1:11">
      <c r="A486"/>
      <c r="B486"/>
      <c r="C486"/>
      <c r="D486"/>
      <c r="E486"/>
      <c r="F486"/>
      <c r="G486"/>
      <c r="H486"/>
      <c r="I486"/>
      <c r="J486"/>
      <c r="K486"/>
    </row>
    <row r="487" spans="1:11">
      <c r="A487"/>
      <c r="B487"/>
      <c r="C487"/>
      <c r="D487"/>
      <c r="E487"/>
      <c r="F487"/>
      <c r="G487"/>
      <c r="H487"/>
      <c r="I487"/>
      <c r="J487"/>
      <c r="K487"/>
    </row>
    <row r="488" spans="1:11">
      <c r="A488"/>
      <c r="B488"/>
      <c r="C488"/>
      <c r="D488"/>
      <c r="E488"/>
      <c r="F488"/>
      <c r="G488"/>
      <c r="H488"/>
      <c r="I488"/>
      <c r="J488"/>
      <c r="K488"/>
    </row>
    <row r="489" spans="1:11">
      <c r="A489"/>
      <c r="B489"/>
      <c r="C489"/>
      <c r="D489"/>
      <c r="E489"/>
      <c r="F489"/>
      <c r="G489"/>
      <c r="H489"/>
      <c r="I489"/>
      <c r="J489"/>
      <c r="K489"/>
    </row>
    <row r="490" spans="1:11">
      <c r="A490"/>
      <c r="B490"/>
      <c r="C490"/>
      <c r="D490"/>
      <c r="E490"/>
      <c r="F490"/>
      <c r="G490"/>
      <c r="H490"/>
      <c r="I490"/>
      <c r="J490"/>
      <c r="K490"/>
    </row>
    <row r="491" spans="1:11">
      <c r="A491"/>
      <c r="B491"/>
      <c r="C491"/>
      <c r="D491"/>
      <c r="E491"/>
      <c r="F491"/>
      <c r="G491"/>
      <c r="H491"/>
      <c r="I491"/>
      <c r="J491"/>
      <c r="K491"/>
    </row>
    <row r="492" spans="1:11">
      <c r="A492"/>
      <c r="B492"/>
      <c r="C492"/>
      <c r="D492"/>
      <c r="E492"/>
      <c r="F492"/>
      <c r="G492"/>
      <c r="H492"/>
      <c r="I492"/>
      <c r="J492"/>
      <c r="K492"/>
    </row>
    <row r="493" spans="1:11">
      <c r="A493"/>
      <c r="B493"/>
      <c r="C493"/>
      <c r="D493"/>
      <c r="E493"/>
      <c r="F493"/>
      <c r="G493"/>
      <c r="H493"/>
      <c r="I493"/>
      <c r="J493"/>
      <c r="K493"/>
    </row>
    <row r="494" spans="1:11">
      <c r="A494"/>
      <c r="B494"/>
      <c r="C494"/>
      <c r="D494"/>
      <c r="E494"/>
      <c r="F494"/>
      <c r="G494"/>
      <c r="H494"/>
      <c r="I494"/>
      <c r="J494"/>
      <c r="K494"/>
    </row>
    <row r="495" spans="1:11">
      <c r="A495"/>
      <c r="B495"/>
      <c r="C495"/>
      <c r="D495"/>
      <c r="E495"/>
      <c r="F495"/>
      <c r="G495"/>
      <c r="H495"/>
      <c r="I495"/>
      <c r="J495"/>
      <c r="K495"/>
    </row>
    <row r="496" spans="1:11">
      <c r="A496"/>
      <c r="B496"/>
      <c r="C496"/>
      <c r="D496"/>
      <c r="E496"/>
      <c r="F496"/>
      <c r="G496"/>
      <c r="H496"/>
      <c r="I496"/>
      <c r="J496"/>
      <c r="K496"/>
    </row>
    <row r="497" spans="1:11">
      <c r="A497"/>
      <c r="B497"/>
      <c r="C497"/>
      <c r="D497"/>
      <c r="E497"/>
      <c r="F497"/>
      <c r="G497"/>
      <c r="H497"/>
      <c r="I497"/>
      <c r="J497"/>
      <c r="K497"/>
    </row>
    <row r="498" spans="1:11">
      <c r="A498"/>
      <c r="B498"/>
      <c r="C498"/>
      <c r="D498"/>
      <c r="E498"/>
      <c r="F498"/>
      <c r="G498"/>
      <c r="H498"/>
      <c r="I498"/>
      <c r="J498"/>
      <c r="K498"/>
    </row>
    <row r="499" spans="1:11">
      <c r="A499"/>
      <c r="B499"/>
      <c r="C499"/>
      <c r="D499"/>
      <c r="E499"/>
      <c r="F499"/>
      <c r="G499"/>
      <c r="H499"/>
      <c r="I499"/>
      <c r="J499"/>
      <c r="K499"/>
    </row>
    <row r="500" spans="1:11">
      <c r="A500"/>
      <c r="B500"/>
      <c r="C500"/>
      <c r="D500"/>
      <c r="E500"/>
      <c r="F500"/>
      <c r="G500"/>
      <c r="H500"/>
      <c r="I500"/>
      <c r="J500"/>
      <c r="K500"/>
    </row>
    <row r="501" spans="1:11">
      <c r="A501"/>
      <c r="B501"/>
      <c r="C501"/>
      <c r="D501"/>
      <c r="E501"/>
      <c r="F501"/>
      <c r="G501"/>
      <c r="H501"/>
      <c r="I501"/>
      <c r="J501"/>
      <c r="K501"/>
    </row>
    <row r="502" spans="1:11">
      <c r="A502"/>
      <c r="B502"/>
      <c r="C502"/>
      <c r="D502"/>
      <c r="E502"/>
      <c r="F502"/>
      <c r="G502"/>
      <c r="H502"/>
      <c r="I502"/>
      <c r="J502"/>
      <c r="K502"/>
    </row>
    <row r="503" spans="1:11">
      <c r="A503"/>
      <c r="B503"/>
      <c r="C503"/>
      <c r="D503"/>
      <c r="E503"/>
      <c r="F503"/>
      <c r="G503"/>
      <c r="H503"/>
      <c r="I503"/>
      <c r="J503"/>
      <c r="K503"/>
    </row>
    <row r="504" spans="1:11">
      <c r="A504"/>
      <c r="B504"/>
      <c r="C504"/>
      <c r="D504"/>
      <c r="E504"/>
      <c r="F504"/>
      <c r="G504"/>
      <c r="H504"/>
      <c r="I504"/>
      <c r="J504"/>
      <c r="K504"/>
    </row>
    <row r="505" spans="1:11">
      <c r="A505"/>
      <c r="B505"/>
      <c r="C505"/>
      <c r="D505"/>
      <c r="E505"/>
      <c r="F505"/>
      <c r="G505"/>
      <c r="H505"/>
      <c r="I505"/>
      <c r="J505"/>
      <c r="K505"/>
    </row>
    <row r="506" spans="1:11">
      <c r="A506"/>
      <c r="B506"/>
      <c r="C506"/>
      <c r="D506"/>
      <c r="E506"/>
      <c r="F506"/>
      <c r="G506"/>
      <c r="H506"/>
      <c r="I506"/>
      <c r="J506"/>
      <c r="K506"/>
    </row>
    <row r="507" spans="1:11">
      <c r="A507"/>
      <c r="B507"/>
      <c r="C507"/>
      <c r="D507"/>
      <c r="E507"/>
      <c r="F507"/>
      <c r="G507"/>
      <c r="H507"/>
      <c r="I507"/>
      <c r="J507"/>
      <c r="K507"/>
    </row>
    <row r="508" spans="1:11">
      <c r="A508"/>
      <c r="B508"/>
      <c r="C508"/>
      <c r="D508"/>
      <c r="E508"/>
      <c r="F508"/>
      <c r="G508"/>
      <c r="H508"/>
      <c r="I508"/>
      <c r="J508"/>
      <c r="K508"/>
    </row>
    <row r="509" spans="1:11">
      <c r="A509"/>
      <c r="B509"/>
      <c r="C509"/>
      <c r="D509"/>
      <c r="E509"/>
      <c r="F509"/>
      <c r="G509"/>
      <c r="H509"/>
      <c r="I509"/>
      <c r="J509"/>
      <c r="K509"/>
    </row>
    <row r="510" spans="1:11">
      <c r="A510"/>
      <c r="B510"/>
      <c r="C510"/>
      <c r="D510"/>
      <c r="E510"/>
      <c r="F510"/>
      <c r="G510"/>
      <c r="H510"/>
      <c r="I510"/>
      <c r="J510"/>
      <c r="K510"/>
    </row>
    <row r="511" spans="1:11">
      <c r="A511"/>
      <c r="B511"/>
      <c r="C511"/>
      <c r="D511"/>
      <c r="E511"/>
      <c r="F511"/>
      <c r="G511"/>
      <c r="H511"/>
      <c r="I511"/>
      <c r="J511"/>
      <c r="K511"/>
    </row>
    <row r="512" spans="1:11">
      <c r="A512"/>
      <c r="B512"/>
      <c r="C512"/>
      <c r="D512"/>
      <c r="E512"/>
      <c r="F512"/>
      <c r="G512"/>
      <c r="H512"/>
      <c r="I512"/>
      <c r="J512"/>
      <c r="K512"/>
    </row>
    <row r="513" spans="1:11">
      <c r="A513"/>
      <c r="B513"/>
      <c r="C513"/>
      <c r="D513"/>
      <c r="E513"/>
      <c r="F513"/>
      <c r="G513"/>
      <c r="H513"/>
      <c r="I513"/>
      <c r="J513"/>
      <c r="K513"/>
    </row>
    <row r="514" spans="1:11">
      <c r="A514"/>
      <c r="B514"/>
      <c r="C514"/>
      <c r="D514"/>
      <c r="E514"/>
      <c r="F514"/>
      <c r="G514"/>
      <c r="H514"/>
      <c r="I514"/>
      <c r="J514"/>
      <c r="K514"/>
    </row>
    <row r="515" spans="1:11">
      <c r="A515"/>
      <c r="B515"/>
      <c r="C515"/>
      <c r="D515"/>
      <c r="E515"/>
      <c r="F515"/>
      <c r="G515"/>
      <c r="H515"/>
      <c r="I515"/>
      <c r="J515"/>
      <c r="K515"/>
    </row>
    <row r="516" spans="1:11">
      <c r="A516"/>
      <c r="B516"/>
      <c r="C516"/>
      <c r="D516"/>
      <c r="E516"/>
      <c r="F516"/>
      <c r="G516"/>
      <c r="H516"/>
      <c r="I516"/>
      <c r="J516"/>
      <c r="K516"/>
    </row>
    <row r="517" spans="1:11">
      <c r="A517"/>
      <c r="B517"/>
      <c r="C517"/>
      <c r="D517"/>
      <c r="E517"/>
      <c r="F517"/>
      <c r="G517"/>
      <c r="H517"/>
      <c r="I517"/>
      <c r="J517"/>
      <c r="K517"/>
    </row>
    <row r="518" spans="1:11">
      <c r="A518"/>
      <c r="B518"/>
      <c r="C518"/>
      <c r="D518"/>
      <c r="E518"/>
      <c r="F518"/>
      <c r="G518"/>
      <c r="H518"/>
      <c r="I518"/>
      <c r="J518"/>
      <c r="K518"/>
    </row>
    <row r="519" spans="1:11">
      <c r="A519"/>
      <c r="B519"/>
      <c r="C519"/>
      <c r="D519"/>
      <c r="E519"/>
      <c r="F519"/>
      <c r="G519"/>
      <c r="H519"/>
      <c r="I519"/>
      <c r="J519"/>
      <c r="K519"/>
    </row>
    <row r="520" spans="1:11">
      <c r="A520"/>
      <c r="B520"/>
      <c r="C520"/>
      <c r="D520"/>
      <c r="E520"/>
      <c r="F520"/>
      <c r="G520"/>
      <c r="H520"/>
      <c r="I520"/>
      <c r="J520"/>
      <c r="K520"/>
    </row>
    <row r="521" spans="1:11">
      <c r="A521"/>
      <c r="B521"/>
      <c r="C521"/>
      <c r="D521"/>
      <c r="E521"/>
      <c r="F521"/>
      <c r="G521"/>
      <c r="H521"/>
      <c r="I521"/>
      <c r="J521"/>
      <c r="K521"/>
    </row>
    <row r="522" spans="1:11">
      <c r="A522"/>
      <c r="B522"/>
      <c r="C522"/>
      <c r="D522"/>
      <c r="E522"/>
      <c r="F522"/>
      <c r="G522"/>
      <c r="H522"/>
      <c r="I522"/>
      <c r="J522"/>
      <c r="K522"/>
    </row>
    <row r="523" spans="1:11">
      <c r="A523"/>
      <c r="B523"/>
      <c r="C523"/>
      <c r="D523"/>
      <c r="E523"/>
      <c r="F523"/>
      <c r="G523"/>
      <c r="H523"/>
      <c r="I523"/>
      <c r="J523"/>
      <c r="K523"/>
    </row>
    <row r="524" spans="1:11">
      <c r="A524"/>
      <c r="B524"/>
      <c r="C524"/>
      <c r="D524"/>
      <c r="E524"/>
      <c r="F524"/>
      <c r="G524"/>
      <c r="H524"/>
      <c r="I524"/>
      <c r="J524"/>
      <c r="K524"/>
    </row>
    <row r="525" spans="1:11">
      <c r="A525"/>
      <c r="B525"/>
      <c r="C525"/>
      <c r="D525"/>
      <c r="E525"/>
      <c r="F525"/>
      <c r="G525"/>
      <c r="H525"/>
      <c r="I525"/>
      <c r="J525"/>
      <c r="K525"/>
    </row>
    <row r="526" spans="1:11">
      <c r="A526"/>
      <c r="B526"/>
      <c r="C526"/>
      <c r="D526"/>
      <c r="E526"/>
      <c r="F526"/>
      <c r="G526"/>
      <c r="H526"/>
      <c r="I526"/>
      <c r="J526"/>
      <c r="K526"/>
    </row>
    <row r="527" spans="1:11">
      <c r="A527"/>
      <c r="B527"/>
      <c r="C527"/>
      <c r="D527"/>
      <c r="E527"/>
      <c r="F527"/>
      <c r="G527"/>
      <c r="H527"/>
      <c r="I527"/>
      <c r="J527"/>
      <c r="K527"/>
    </row>
    <row r="528" spans="1:11">
      <c r="A528"/>
      <c r="B528"/>
      <c r="C528"/>
      <c r="D528"/>
      <c r="E528"/>
      <c r="F528"/>
      <c r="G528"/>
      <c r="H528"/>
      <c r="I528"/>
      <c r="J528"/>
      <c r="K528"/>
    </row>
    <row r="529" spans="1:11">
      <c r="A529"/>
      <c r="B529"/>
      <c r="C529"/>
      <c r="D529"/>
      <c r="E529"/>
      <c r="F529"/>
      <c r="G529"/>
      <c r="H529"/>
      <c r="I529"/>
      <c r="J529"/>
      <c r="K529"/>
    </row>
    <row r="530" spans="1:11">
      <c r="A530"/>
      <c r="B530"/>
      <c r="C530"/>
      <c r="D530"/>
      <c r="E530"/>
      <c r="F530"/>
      <c r="G530"/>
      <c r="H530"/>
      <c r="I530"/>
      <c r="J530"/>
      <c r="K530"/>
    </row>
    <row r="531" spans="1:11">
      <c r="A531"/>
      <c r="B531"/>
      <c r="C531"/>
      <c r="D531"/>
      <c r="E531"/>
      <c r="F531"/>
      <c r="G531"/>
      <c r="H531"/>
      <c r="I531"/>
      <c r="J531"/>
      <c r="K531"/>
    </row>
    <row r="532" spans="1:11">
      <c r="A532"/>
      <c r="B532"/>
      <c r="C532"/>
      <c r="D532"/>
      <c r="E532"/>
      <c r="F532"/>
      <c r="G532"/>
      <c r="H532"/>
      <c r="I532"/>
      <c r="J532"/>
      <c r="K532"/>
    </row>
    <row r="533" spans="1:11">
      <c r="A533"/>
      <c r="B533"/>
      <c r="C533"/>
      <c r="D533"/>
      <c r="E533"/>
      <c r="F533"/>
      <c r="G533"/>
      <c r="H533"/>
      <c r="I533"/>
      <c r="J533"/>
      <c r="K533"/>
    </row>
    <row r="534" spans="1:11">
      <c r="A534"/>
      <c r="B534"/>
      <c r="C534"/>
      <c r="D534"/>
      <c r="E534"/>
      <c r="F534"/>
      <c r="G534"/>
      <c r="H534"/>
      <c r="I534"/>
      <c r="J534"/>
      <c r="K534"/>
    </row>
    <row r="535" spans="1:11">
      <c r="A535"/>
      <c r="B535"/>
      <c r="C535"/>
      <c r="D535"/>
      <c r="E535"/>
      <c r="F535"/>
      <c r="G535"/>
      <c r="H535"/>
      <c r="I535"/>
      <c r="J535"/>
      <c r="K535"/>
    </row>
    <row r="536" spans="1:11">
      <c r="A536"/>
      <c r="B536"/>
      <c r="C536"/>
      <c r="D536"/>
      <c r="E536"/>
      <c r="F536"/>
      <c r="G536"/>
      <c r="H536"/>
      <c r="I536"/>
      <c r="J536"/>
      <c r="K536"/>
    </row>
    <row r="537" spans="1:11">
      <c r="A537"/>
      <c r="B537"/>
      <c r="C537"/>
      <c r="D537"/>
      <c r="E537"/>
      <c r="F537"/>
      <c r="G537"/>
      <c r="H537"/>
      <c r="I537"/>
      <c r="J537"/>
      <c r="K537"/>
    </row>
    <row r="538" spans="1:11">
      <c r="A538"/>
      <c r="B538"/>
      <c r="C538"/>
      <c r="D538"/>
      <c r="E538"/>
      <c r="F538"/>
      <c r="G538"/>
      <c r="H538"/>
      <c r="I538"/>
      <c r="J538"/>
      <c r="K538"/>
    </row>
    <row r="539" spans="1:11">
      <c r="A539"/>
      <c r="B539"/>
      <c r="C539"/>
      <c r="D539"/>
      <c r="E539"/>
      <c r="F539"/>
      <c r="G539"/>
      <c r="H539"/>
      <c r="I539"/>
      <c r="J539"/>
      <c r="K539"/>
    </row>
    <row r="540" spans="1:11">
      <c r="A540"/>
      <c r="B540"/>
      <c r="C540"/>
      <c r="D540"/>
      <c r="E540"/>
      <c r="F540"/>
      <c r="G540"/>
      <c r="H540"/>
      <c r="I540"/>
      <c r="J540"/>
      <c r="K540"/>
    </row>
    <row r="541" spans="1:11">
      <c r="A541"/>
      <c r="B541"/>
      <c r="C541"/>
      <c r="D541"/>
      <c r="E541"/>
      <c r="F541"/>
      <c r="G541"/>
      <c r="H541"/>
      <c r="I541"/>
      <c r="J541"/>
      <c r="K541"/>
    </row>
    <row r="542" spans="1:11">
      <c r="A542"/>
      <c r="B542"/>
      <c r="C542"/>
      <c r="D542"/>
      <c r="E542"/>
      <c r="F542"/>
      <c r="G542"/>
      <c r="H542"/>
      <c r="I542"/>
      <c r="J542"/>
      <c r="K542"/>
    </row>
    <row r="543" spans="1:11">
      <c r="A543"/>
      <c r="B543"/>
      <c r="C543"/>
      <c r="D543"/>
      <c r="E543"/>
      <c r="F543"/>
      <c r="G543"/>
      <c r="H543"/>
      <c r="I543"/>
      <c r="J543"/>
      <c r="K543"/>
    </row>
    <row r="544" spans="1:11">
      <c r="A544"/>
      <c r="B544"/>
      <c r="C544"/>
      <c r="D544"/>
      <c r="E544"/>
      <c r="F544"/>
      <c r="G544"/>
      <c r="H544"/>
      <c r="I544"/>
      <c r="J544"/>
      <c r="K544"/>
    </row>
    <row r="545" spans="1:11">
      <c r="A545"/>
      <c r="B545"/>
      <c r="C545"/>
      <c r="D545"/>
      <c r="E545"/>
      <c r="F545"/>
      <c r="G545"/>
      <c r="H545"/>
      <c r="I545"/>
      <c r="J545"/>
      <c r="K545"/>
    </row>
    <row r="546" spans="1:11">
      <c r="A546"/>
      <c r="B546"/>
      <c r="C546"/>
      <c r="D546"/>
      <c r="E546"/>
      <c r="F546"/>
      <c r="G546"/>
      <c r="H546"/>
      <c r="I546"/>
      <c r="J546"/>
      <c r="K546"/>
    </row>
    <row r="547" spans="1:11">
      <c r="A547"/>
      <c r="B547"/>
      <c r="C547"/>
      <c r="D547"/>
      <c r="E547"/>
      <c r="F547"/>
      <c r="G547"/>
      <c r="H547"/>
      <c r="I547"/>
      <c r="J547"/>
      <c r="K547"/>
    </row>
    <row r="548" spans="1:11">
      <c r="A548"/>
      <c r="B548"/>
      <c r="C548"/>
      <c r="D548"/>
      <c r="E548"/>
      <c r="F548"/>
      <c r="G548"/>
      <c r="H548"/>
      <c r="I548"/>
      <c r="J548"/>
      <c r="K548"/>
    </row>
    <row r="549" spans="1:11">
      <c r="A549"/>
      <c r="B549"/>
      <c r="C549"/>
      <c r="D549"/>
      <c r="E549"/>
      <c r="F549"/>
      <c r="G549"/>
      <c r="H549"/>
      <c r="I549"/>
      <c r="J549"/>
      <c r="K549"/>
    </row>
    <row r="550" spans="1:11">
      <c r="A550"/>
      <c r="B550"/>
      <c r="C550"/>
      <c r="D550"/>
      <c r="E550"/>
      <c r="F550"/>
      <c r="G550"/>
      <c r="H550"/>
      <c r="I550"/>
      <c r="J550"/>
      <c r="K550"/>
    </row>
    <row r="551" spans="1:11">
      <c r="A551"/>
      <c r="B551"/>
      <c r="C551"/>
      <c r="D551"/>
      <c r="E551"/>
      <c r="F551"/>
      <c r="G551"/>
      <c r="H551"/>
      <c r="I551"/>
      <c r="J551"/>
      <c r="K551"/>
    </row>
    <row r="552" spans="1:11">
      <c r="A552"/>
      <c r="B552"/>
      <c r="C552"/>
      <c r="D552"/>
      <c r="E552"/>
      <c r="F552"/>
      <c r="G552"/>
      <c r="H552"/>
      <c r="I552"/>
      <c r="J552"/>
      <c r="K552"/>
    </row>
    <row r="553" spans="1:11">
      <c r="A553"/>
      <c r="B553"/>
      <c r="C553"/>
      <c r="D553"/>
      <c r="E553"/>
      <c r="F553"/>
      <c r="G553"/>
      <c r="H553"/>
      <c r="I553"/>
      <c r="J553"/>
      <c r="K553"/>
    </row>
    <row r="554" spans="1:11">
      <c r="A554"/>
      <c r="B554"/>
      <c r="C554"/>
      <c r="D554"/>
      <c r="E554"/>
      <c r="F554"/>
      <c r="G554"/>
      <c r="H554"/>
      <c r="I554"/>
      <c r="J554"/>
      <c r="K554"/>
    </row>
    <row r="555" spans="1:11">
      <c r="A555"/>
      <c r="B555"/>
      <c r="C555"/>
      <c r="D555"/>
      <c r="E555"/>
      <c r="F555"/>
      <c r="G555"/>
      <c r="H555"/>
      <c r="I555"/>
      <c r="J555"/>
      <c r="K555"/>
    </row>
    <row r="556" spans="1:11">
      <c r="A556"/>
      <c r="B556"/>
      <c r="C556"/>
      <c r="D556"/>
      <c r="E556"/>
      <c r="F556"/>
      <c r="G556"/>
      <c r="H556"/>
      <c r="I556"/>
      <c r="J556"/>
      <c r="K556"/>
    </row>
    <row r="557" spans="1:11">
      <c r="A557"/>
      <c r="B557"/>
      <c r="C557"/>
      <c r="D557"/>
      <c r="E557"/>
      <c r="F557"/>
      <c r="G557"/>
      <c r="H557"/>
      <c r="I557"/>
      <c r="J557"/>
      <c r="K557"/>
    </row>
    <row r="558" spans="1:11">
      <c r="A558"/>
      <c r="B558"/>
      <c r="C558"/>
      <c r="D558"/>
      <c r="E558"/>
      <c r="F558"/>
      <c r="G558"/>
      <c r="H558"/>
      <c r="I558"/>
      <c r="J558"/>
      <c r="K558"/>
    </row>
    <row r="559" spans="1:11">
      <c r="A559"/>
      <c r="B559"/>
      <c r="C559"/>
      <c r="D559"/>
      <c r="E559"/>
      <c r="F559"/>
      <c r="G559"/>
      <c r="H559"/>
      <c r="I559"/>
      <c r="J559"/>
      <c r="K559"/>
    </row>
    <row r="560" spans="1:11">
      <c r="A560"/>
      <c r="B560"/>
      <c r="C560"/>
      <c r="D560"/>
      <c r="E560"/>
      <c r="F560"/>
      <c r="G560"/>
      <c r="H560"/>
      <c r="I560"/>
      <c r="J560"/>
      <c r="K560"/>
    </row>
    <row r="561" spans="1:11">
      <c r="A561"/>
      <c r="B561"/>
      <c r="C561"/>
      <c r="D561"/>
      <c r="E561"/>
      <c r="F561"/>
      <c r="G561"/>
      <c r="H561"/>
      <c r="I561"/>
      <c r="J561"/>
      <c r="K561"/>
    </row>
    <row r="562" spans="1:11">
      <c r="A562"/>
      <c r="B562"/>
      <c r="C562"/>
      <c r="D562"/>
      <c r="E562"/>
      <c r="F562"/>
      <c r="G562"/>
      <c r="H562"/>
      <c r="I562"/>
      <c r="J562"/>
      <c r="K562"/>
    </row>
    <row r="563" spans="1:11">
      <c r="A563"/>
      <c r="B563"/>
      <c r="C563"/>
      <c r="D563"/>
      <c r="E563"/>
      <c r="F563"/>
      <c r="G563"/>
      <c r="H563"/>
      <c r="I563"/>
      <c r="J563"/>
      <c r="K563"/>
    </row>
    <row r="564" spans="1:11">
      <c r="A564"/>
      <c r="B564"/>
      <c r="C564"/>
      <c r="D564"/>
      <c r="E564"/>
      <c r="F564"/>
      <c r="G564"/>
      <c r="H564"/>
      <c r="I564"/>
      <c r="J564"/>
      <c r="K564"/>
    </row>
    <row r="565" spans="1:11">
      <c r="A565"/>
      <c r="B565"/>
      <c r="C565"/>
      <c r="D565"/>
      <c r="E565"/>
      <c r="F565"/>
      <c r="G565"/>
      <c r="H565"/>
      <c r="I565"/>
      <c r="J565"/>
      <c r="K565"/>
    </row>
    <row r="566" spans="1:11">
      <c r="A566"/>
      <c r="B566"/>
      <c r="C566"/>
      <c r="D566"/>
      <c r="E566"/>
      <c r="F566"/>
      <c r="G566"/>
      <c r="H566"/>
      <c r="I566"/>
      <c r="J566"/>
      <c r="K566"/>
    </row>
    <row r="567" spans="1:11">
      <c r="A567"/>
      <c r="B567"/>
      <c r="C567"/>
      <c r="D567"/>
      <c r="E567"/>
      <c r="F567"/>
      <c r="G567"/>
      <c r="H567"/>
      <c r="I567"/>
      <c r="J567"/>
      <c r="K567"/>
    </row>
    <row r="568" spans="1:11">
      <c r="A568"/>
      <c r="B568"/>
      <c r="C568"/>
      <c r="D568"/>
      <c r="E568"/>
      <c r="F568"/>
      <c r="G568"/>
      <c r="H568"/>
      <c r="I568"/>
      <c r="J568"/>
      <c r="K568"/>
    </row>
    <row r="569" spans="1:11">
      <c r="A569"/>
      <c r="B569"/>
      <c r="C569"/>
      <c r="D569"/>
      <c r="E569"/>
      <c r="F569"/>
      <c r="G569"/>
      <c r="H569"/>
      <c r="I569"/>
      <c r="J569"/>
      <c r="K569"/>
    </row>
    <row r="570" spans="1:11">
      <c r="A570"/>
      <c r="B570"/>
      <c r="C570"/>
      <c r="D570"/>
      <c r="E570"/>
      <c r="F570"/>
      <c r="G570"/>
      <c r="H570"/>
      <c r="I570"/>
      <c r="J570"/>
      <c r="K570"/>
    </row>
    <row r="571" spans="1:11">
      <c r="A571"/>
      <c r="B571"/>
      <c r="C571"/>
      <c r="D571"/>
      <c r="E571"/>
      <c r="F571"/>
      <c r="G571"/>
      <c r="H571"/>
      <c r="I571"/>
      <c r="J571"/>
      <c r="K571"/>
    </row>
    <row r="572" spans="1:11">
      <c r="A572"/>
      <c r="B572"/>
      <c r="C572"/>
      <c r="D572"/>
      <c r="E572"/>
      <c r="F572"/>
      <c r="G572"/>
      <c r="H572"/>
      <c r="I572"/>
      <c r="J572"/>
      <c r="K572"/>
    </row>
    <row r="573" spans="1:11">
      <c r="A573"/>
      <c r="B573"/>
      <c r="C573"/>
      <c r="D573"/>
      <c r="E573"/>
      <c r="F573"/>
      <c r="G573"/>
      <c r="H573"/>
      <c r="I573"/>
      <c r="J573"/>
      <c r="K573"/>
    </row>
    <row r="574" spans="1:11">
      <c r="A574"/>
      <c r="B574"/>
      <c r="C574"/>
      <c r="D574"/>
      <c r="E574"/>
      <c r="F574"/>
      <c r="G574"/>
      <c r="H574"/>
      <c r="I574"/>
      <c r="J574"/>
      <c r="K574"/>
    </row>
    <row r="575" spans="1:11">
      <c r="A575"/>
      <c r="B575"/>
      <c r="C575"/>
      <c r="D575"/>
      <c r="E575"/>
      <c r="F575"/>
      <c r="G575"/>
      <c r="H575"/>
      <c r="I575"/>
      <c r="J575"/>
      <c r="K575"/>
    </row>
    <row r="576" spans="1:11">
      <c r="A576"/>
      <c r="B576"/>
      <c r="C576"/>
      <c r="D576"/>
      <c r="E576"/>
      <c r="F576"/>
      <c r="G576"/>
      <c r="H576"/>
      <c r="I576"/>
      <c r="J576"/>
      <c r="K576"/>
    </row>
    <row r="577" spans="1:11">
      <c r="A577"/>
      <c r="B577"/>
      <c r="C577"/>
      <c r="D577"/>
      <c r="E577"/>
      <c r="F577"/>
      <c r="G577"/>
      <c r="H577"/>
      <c r="I577"/>
      <c r="J577"/>
      <c r="K577"/>
    </row>
    <row r="578" spans="1:11">
      <c r="A578"/>
      <c r="B578"/>
      <c r="C578"/>
      <c r="D578"/>
      <c r="E578"/>
      <c r="F578"/>
      <c r="G578"/>
      <c r="H578"/>
      <c r="I578"/>
      <c r="J578"/>
      <c r="K578"/>
    </row>
    <row r="579" spans="1:11">
      <c r="A579"/>
      <c r="B579"/>
      <c r="C579"/>
      <c r="D579"/>
      <c r="E579"/>
      <c r="F579"/>
      <c r="G579"/>
      <c r="H579"/>
      <c r="I579"/>
      <c r="J579"/>
      <c r="K579"/>
    </row>
    <row r="580" spans="1:11">
      <c r="A580"/>
      <c r="B580"/>
      <c r="C580"/>
      <c r="D580"/>
      <c r="E580"/>
      <c r="F580"/>
      <c r="G580"/>
      <c r="H580"/>
      <c r="I580"/>
      <c r="J580"/>
      <c r="K580"/>
    </row>
    <row r="581" spans="1:11">
      <c r="A581"/>
      <c r="B581"/>
      <c r="C581"/>
      <c r="D581"/>
      <c r="E581"/>
      <c r="F581"/>
      <c r="G581"/>
      <c r="H581"/>
      <c r="I581"/>
      <c r="J581"/>
      <c r="K581"/>
    </row>
    <row r="582" spans="1:11">
      <c r="A582"/>
      <c r="B582"/>
      <c r="C582"/>
      <c r="D582"/>
      <c r="E582"/>
      <c r="F582"/>
      <c r="G582"/>
      <c r="H582"/>
      <c r="I582"/>
      <c r="J582"/>
      <c r="K582"/>
    </row>
    <row r="583" spans="1:11">
      <c r="A583"/>
      <c r="B583"/>
      <c r="C583"/>
      <c r="D583"/>
      <c r="E583"/>
      <c r="F583"/>
      <c r="G583"/>
      <c r="H583"/>
      <c r="I583"/>
      <c r="J583"/>
      <c r="K583"/>
    </row>
    <row r="584" spans="1:11">
      <c r="A584"/>
      <c r="B584"/>
      <c r="C584"/>
      <c r="D584"/>
      <c r="E584"/>
      <c r="F584"/>
      <c r="G584"/>
      <c r="H584"/>
      <c r="I584"/>
      <c r="J584"/>
      <c r="K584"/>
    </row>
    <row r="585" spans="1:11">
      <c r="A585"/>
      <c r="B585"/>
      <c r="C585"/>
      <c r="D585"/>
      <c r="E585"/>
      <c r="F585"/>
      <c r="G585"/>
      <c r="H585"/>
      <c r="I585"/>
      <c r="J585"/>
      <c r="K585"/>
    </row>
    <row r="586" spans="1:11">
      <c r="A586"/>
      <c r="B586"/>
      <c r="C586"/>
      <c r="D586"/>
      <c r="E586"/>
      <c r="F586"/>
      <c r="G586"/>
      <c r="H586"/>
      <c r="I586"/>
      <c r="J586"/>
      <c r="K586"/>
    </row>
    <row r="587" spans="1:11">
      <c r="A587"/>
      <c r="B587"/>
      <c r="C587"/>
      <c r="D587"/>
      <c r="E587"/>
      <c r="F587"/>
      <c r="G587"/>
      <c r="H587"/>
      <c r="I587"/>
      <c r="J587"/>
      <c r="K587"/>
    </row>
  </sheetData>
  <mergeCells count="5">
    <mergeCell ref="A3:H3"/>
    <mergeCell ref="I5:K5"/>
    <mergeCell ref="I6:I7"/>
    <mergeCell ref="J6:J7"/>
    <mergeCell ref="K6:K7"/>
  </mergeCells>
  <pageMargins left="0.7" right="0.7" top="0.75" bottom="0.75" header="0.3" footer="0.3"/>
  <pageSetup orientation="portrait" horizontalDpi="0" verticalDpi="0"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47C8B-E729-4850-9C9B-1EA2DD05111B}">
  <dimension ref="A1:R239"/>
  <sheetViews>
    <sheetView zoomScaleNormal="100" workbookViewId="0"/>
  </sheetViews>
  <sheetFormatPr defaultColWidth="8.88671875" defaultRowHeight="15.6"/>
  <cols>
    <col min="1" max="1" width="8.88671875" style="1" customWidth="1"/>
    <col min="2" max="2" width="16.5546875" style="1" customWidth="1"/>
    <col min="3" max="5" width="12.6640625" style="1" customWidth="1"/>
    <col min="6" max="6" width="14.33203125" style="1" customWidth="1"/>
    <col min="7" max="7" width="8.88671875" style="1"/>
    <col min="8" max="8" width="8.88671875" style="1" customWidth="1"/>
    <col min="9" max="16384" width="8.88671875" style="1"/>
  </cols>
  <sheetData>
    <row r="1" spans="1:12" ht="17.399999999999999">
      <c r="A1" s="23" t="s">
        <v>669</v>
      </c>
      <c r="B1" s="22"/>
      <c r="C1" s="22" t="s">
        <v>1094</v>
      </c>
      <c r="D1" s="22"/>
      <c r="E1" s="22"/>
      <c r="F1" s="22"/>
      <c r="G1" s="22"/>
      <c r="H1" s="22"/>
      <c r="I1" s="22"/>
      <c r="J1" s="22"/>
      <c r="K1" s="22"/>
      <c r="L1" s="2"/>
    </row>
    <row r="2" spans="1:12">
      <c r="A2" s="22"/>
      <c r="B2" s="22"/>
      <c r="C2" s="22"/>
      <c r="D2" s="22"/>
      <c r="E2" s="22"/>
      <c r="F2" s="22"/>
      <c r="G2" s="22"/>
      <c r="H2" s="22"/>
      <c r="I2" s="22"/>
      <c r="J2" s="22"/>
      <c r="K2" s="22"/>
      <c r="L2" s="2"/>
    </row>
    <row r="3" spans="1:12">
      <c r="A3" s="1859" t="s">
        <v>1531</v>
      </c>
      <c r="B3" s="1859"/>
      <c r="C3" s="1859"/>
      <c r="D3" s="1859"/>
      <c r="E3" s="1859"/>
      <c r="F3" s="1859"/>
      <c r="G3" s="1859"/>
      <c r="H3" s="1859"/>
      <c r="I3" s="1859"/>
      <c r="J3" s="1859"/>
      <c r="K3" s="1859"/>
      <c r="L3" s="2"/>
    </row>
    <row r="4" spans="1:12">
      <c r="A4" s="1859"/>
      <c r="B4" s="1859"/>
      <c r="C4" s="1859"/>
      <c r="D4" s="1859"/>
      <c r="E4" s="1859"/>
      <c r="F4" s="1859"/>
      <c r="G4" s="1859"/>
      <c r="H4" s="1859"/>
      <c r="I4" s="1859"/>
      <c r="J4" s="1859"/>
      <c r="K4" s="1859"/>
      <c r="L4" s="2"/>
    </row>
    <row r="5" spans="1:12">
      <c r="A5" s="376"/>
      <c r="B5" s="325"/>
      <c r="C5" s="325"/>
      <c r="D5" s="325"/>
      <c r="E5" s="22"/>
      <c r="F5" s="22"/>
      <c r="G5" s="22"/>
      <c r="H5" s="22"/>
      <c r="I5" s="22"/>
      <c r="J5" s="22"/>
      <c r="K5" s="22"/>
      <c r="L5" s="22"/>
    </row>
    <row r="6" spans="1:12" ht="31.2">
      <c r="A6" s="22"/>
      <c r="B6" s="1860" t="s">
        <v>1530</v>
      </c>
      <c r="C6" s="338"/>
      <c r="D6" s="1861" t="s">
        <v>1529</v>
      </c>
      <c r="E6" s="338" t="s">
        <v>1528</v>
      </c>
      <c r="F6" s="22"/>
      <c r="G6" s="22"/>
      <c r="H6" s="22"/>
      <c r="I6" s="22"/>
      <c r="J6" s="22"/>
      <c r="K6" s="22"/>
      <c r="L6" s="22"/>
    </row>
    <row r="7" spans="1:12">
      <c r="A7" s="22"/>
      <c r="B7" s="1860"/>
      <c r="C7" s="335" t="s">
        <v>1527</v>
      </c>
      <c r="D7" s="1861"/>
      <c r="E7" s="335" t="s">
        <v>1142</v>
      </c>
      <c r="F7" s="22"/>
      <c r="G7" s="22"/>
      <c r="H7" s="22"/>
      <c r="I7" s="22"/>
      <c r="J7" s="22"/>
      <c r="K7" s="22"/>
      <c r="L7" s="22"/>
    </row>
    <row r="8" spans="1:12">
      <c r="A8" s="22"/>
      <c r="B8" s="1851" t="s">
        <v>1526</v>
      </c>
      <c r="C8" s="628" t="s">
        <v>1524</v>
      </c>
      <c r="D8" s="628">
        <v>480</v>
      </c>
      <c r="E8" s="526">
        <v>52000</v>
      </c>
      <c r="F8" s="22"/>
      <c r="G8" s="22"/>
      <c r="H8" s="22"/>
      <c r="I8" s="22"/>
      <c r="J8" s="22"/>
      <c r="K8" s="22"/>
      <c r="L8" s="22"/>
    </row>
    <row r="9" spans="1:12">
      <c r="A9" s="22"/>
      <c r="B9" s="1851"/>
      <c r="C9" s="628" t="s">
        <v>1523</v>
      </c>
      <c r="D9" s="628">
        <v>160</v>
      </c>
      <c r="E9" s="526">
        <v>8000</v>
      </c>
      <c r="F9" s="22"/>
      <c r="G9" s="22"/>
      <c r="H9" s="22"/>
      <c r="I9" s="22"/>
      <c r="J9" s="22"/>
      <c r="K9" s="22"/>
      <c r="L9" s="22"/>
    </row>
    <row r="10" spans="1:12">
      <c r="A10" s="22"/>
      <c r="B10" s="1851" t="s">
        <v>1525</v>
      </c>
      <c r="C10" s="628" t="s">
        <v>1524</v>
      </c>
      <c r="D10" s="628">
        <v>240</v>
      </c>
      <c r="E10" s="526">
        <v>38000</v>
      </c>
      <c r="F10" s="22"/>
      <c r="G10" s="22"/>
      <c r="H10" s="22"/>
      <c r="I10" s="22"/>
      <c r="J10" s="22"/>
      <c r="K10" s="22"/>
      <c r="L10" s="22"/>
    </row>
    <row r="11" spans="1:12">
      <c r="A11" s="22"/>
      <c r="B11" s="1851"/>
      <c r="C11" s="628" t="s">
        <v>1523</v>
      </c>
      <c r="D11" s="628">
        <v>120</v>
      </c>
      <c r="E11" s="526">
        <v>12000</v>
      </c>
      <c r="F11" s="22"/>
      <c r="G11" s="22"/>
      <c r="H11" s="22"/>
      <c r="I11" s="22"/>
      <c r="J11" s="22"/>
      <c r="K11" s="22"/>
      <c r="L11" s="22"/>
    </row>
    <row r="12" spans="1:12">
      <c r="A12" s="22"/>
      <c r="B12" s="334" t="s">
        <v>98</v>
      </c>
      <c r="C12" s="334"/>
      <c r="D12" s="953">
        <v>1000</v>
      </c>
      <c r="E12" s="953">
        <v>110000</v>
      </c>
      <c r="F12" s="22"/>
      <c r="G12" s="22"/>
      <c r="H12" s="22"/>
      <c r="I12" s="22"/>
      <c r="J12" s="22"/>
      <c r="K12" s="22"/>
      <c r="L12" s="22"/>
    </row>
    <row r="13" spans="1:12">
      <c r="A13" s="376"/>
      <c r="B13" s="325"/>
      <c r="C13" s="325"/>
      <c r="D13" s="325"/>
      <c r="E13" s="22"/>
      <c r="F13" s="22"/>
      <c r="G13" s="22"/>
      <c r="H13" s="22"/>
      <c r="I13" s="22"/>
      <c r="J13" s="22"/>
      <c r="K13" s="22"/>
      <c r="L13" s="22"/>
    </row>
    <row r="14" spans="1:12" ht="15.6" customHeight="1">
      <c r="A14" s="376" t="s">
        <v>1522</v>
      </c>
      <c r="B14" s="325"/>
      <c r="C14" s="325"/>
      <c r="D14" s="325"/>
      <c r="E14" s="498">
        <v>100</v>
      </c>
      <c r="F14" s="22" t="s">
        <v>1521</v>
      </c>
      <c r="G14" s="22"/>
      <c r="H14" s="22"/>
      <c r="I14" s="22"/>
      <c r="J14" s="22"/>
      <c r="K14" s="22"/>
      <c r="L14" s="22"/>
    </row>
    <row r="15" spans="1:12">
      <c r="A15" s="376" t="s">
        <v>1520</v>
      </c>
      <c r="B15" s="22"/>
      <c r="C15" s="22"/>
      <c r="D15" s="22"/>
      <c r="E15" s="22"/>
      <c r="F15" s="498">
        <v>110</v>
      </c>
      <c r="G15" s="22" t="s">
        <v>1519</v>
      </c>
      <c r="H15" s="22"/>
      <c r="I15" s="22"/>
      <c r="J15" s="22"/>
      <c r="K15" s="22"/>
      <c r="L15" s="22"/>
    </row>
    <row r="16" spans="1:12">
      <c r="A16" s="22"/>
      <c r="B16" s="22"/>
      <c r="C16" s="22"/>
      <c r="D16" s="22"/>
      <c r="E16" s="22"/>
      <c r="F16" s="22"/>
      <c r="G16" s="22"/>
      <c r="H16" s="22"/>
      <c r="I16" s="22"/>
      <c r="J16" s="22"/>
      <c r="K16" s="22"/>
      <c r="L16" s="22"/>
    </row>
    <row r="17" spans="1:18">
      <c r="A17" s="418"/>
      <c r="B17" s="418"/>
      <c r="C17" s="418"/>
      <c r="D17" s="418"/>
      <c r="E17" s="418"/>
      <c r="F17" s="418"/>
      <c r="G17" s="418"/>
      <c r="H17" s="418"/>
      <c r="I17" s="418"/>
      <c r="J17" s="418"/>
      <c r="K17" s="418"/>
      <c r="L17" s="418"/>
    </row>
    <row r="18" spans="1:18">
      <c r="A18" s="577" t="s">
        <v>80</v>
      </c>
      <c r="B18" s="22" t="s">
        <v>1518</v>
      </c>
      <c r="C18" s="22"/>
      <c r="D18" s="22"/>
      <c r="E18" s="22"/>
      <c r="F18" s="22"/>
      <c r="G18" s="22"/>
      <c r="H18" s="22"/>
      <c r="I18" s="22"/>
      <c r="J18" s="22"/>
      <c r="K18" s="22"/>
      <c r="L18" s="22"/>
      <c r="M18" s="328"/>
      <c r="N18" s="328"/>
      <c r="O18" s="328"/>
      <c r="P18" s="328"/>
      <c r="Q18" s="328"/>
      <c r="R18" s="328"/>
    </row>
    <row r="19" spans="1:18">
      <c r="A19" s="2"/>
      <c r="B19" s="2"/>
      <c r="C19" s="2"/>
      <c r="D19" s="2"/>
      <c r="E19" s="2"/>
      <c r="F19" s="2"/>
      <c r="G19" s="22"/>
      <c r="H19" s="22"/>
      <c r="I19" s="22"/>
      <c r="J19" s="22"/>
      <c r="K19" s="22"/>
      <c r="L19" s="22"/>
    </row>
    <row r="20" spans="1:18">
      <c r="A20" s="37"/>
      <c r="B20" s="37"/>
      <c r="C20" s="37"/>
      <c r="D20" s="37"/>
      <c r="E20" s="37"/>
      <c r="F20" s="37"/>
      <c r="G20" s="37"/>
      <c r="H20" s="37"/>
      <c r="I20" s="37"/>
      <c r="J20" s="37"/>
      <c r="K20" s="37"/>
      <c r="L20" s="37"/>
      <c r="M20" s="37"/>
    </row>
    <row r="21" spans="1:18">
      <c r="A21" s="37" t="s">
        <v>650</v>
      </c>
      <c r="B21" s="37"/>
      <c r="C21" s="37"/>
      <c r="D21" s="37"/>
      <c r="E21" s="37"/>
      <c r="F21" s="37"/>
      <c r="G21" s="37"/>
      <c r="H21" s="37"/>
      <c r="I21" s="37"/>
      <c r="J21" s="37"/>
      <c r="K21" s="37"/>
      <c r="L21" s="37"/>
      <c r="M21" s="37"/>
      <c r="N21" s="328"/>
    </row>
    <row r="22" spans="1:18">
      <c r="A22" s="37"/>
      <c r="B22" s="37"/>
      <c r="C22" s="37"/>
      <c r="D22" s="37"/>
      <c r="E22" s="37"/>
      <c r="F22" s="37"/>
      <c r="G22" s="37"/>
      <c r="H22" s="37"/>
      <c r="I22" s="37"/>
      <c r="J22" s="37"/>
      <c r="K22" s="37"/>
      <c r="L22" s="37"/>
      <c r="M22" s="37"/>
      <c r="N22" s="328"/>
    </row>
    <row r="23" spans="1:18">
      <c r="A23" s="37"/>
      <c r="B23" s="37" t="s">
        <v>1517</v>
      </c>
      <c r="C23" s="37"/>
      <c r="D23" s="37"/>
      <c r="E23" s="37"/>
      <c r="F23" s="37"/>
      <c r="G23" s="37"/>
      <c r="H23" s="37"/>
      <c r="I23" s="37"/>
      <c r="J23" s="37"/>
      <c r="K23" s="37"/>
      <c r="L23" s="37"/>
      <c r="M23" s="37"/>
      <c r="N23" s="328"/>
    </row>
    <row r="24" spans="1:18">
      <c r="M24" s="328"/>
      <c r="N24" s="328"/>
    </row>
    <row r="25" spans="1:18">
      <c r="B25" s="1" t="s">
        <v>1516</v>
      </c>
      <c r="M25" s="328"/>
      <c r="N25" s="328"/>
    </row>
    <row r="26" spans="1:18">
      <c r="M26" s="328"/>
      <c r="N26" s="328"/>
    </row>
    <row r="27" spans="1:18">
      <c r="A27" s="2"/>
      <c r="B27" s="2"/>
      <c r="C27" s="2"/>
      <c r="D27" s="2"/>
      <c r="E27" s="2"/>
      <c r="F27" s="2"/>
      <c r="G27" s="22"/>
      <c r="H27" s="22"/>
      <c r="I27" s="22"/>
      <c r="J27" s="22"/>
      <c r="K27" s="22"/>
      <c r="L27" s="22"/>
      <c r="M27" s="328"/>
      <c r="N27" s="328"/>
    </row>
    <row r="28" spans="1:18">
      <c r="A28" s="376" t="s">
        <v>1515</v>
      </c>
      <c r="B28" s="22"/>
      <c r="C28" s="22"/>
      <c r="D28" s="22"/>
      <c r="E28" s="22"/>
      <c r="F28" s="22"/>
      <c r="G28" s="22"/>
      <c r="H28" s="22"/>
      <c r="I28" s="22"/>
      <c r="J28" s="22"/>
      <c r="K28" s="22"/>
      <c r="L28" s="22"/>
      <c r="M28" s="328"/>
      <c r="N28" s="328"/>
    </row>
    <row r="29" spans="1:18">
      <c r="A29" s="376" t="s">
        <v>1514</v>
      </c>
      <c r="B29" s="22"/>
      <c r="C29" s="22"/>
      <c r="D29" s="22"/>
      <c r="E29" s="22"/>
      <c r="F29" s="22"/>
      <c r="G29" s="22"/>
      <c r="H29" s="22"/>
      <c r="I29" s="22" t="s">
        <v>1513</v>
      </c>
      <c r="J29" s="22"/>
      <c r="K29" s="22"/>
      <c r="L29" s="22"/>
      <c r="M29" s="328"/>
      <c r="N29" s="328"/>
    </row>
    <row r="30" spans="1:18">
      <c r="A30" s="22"/>
      <c r="B30" s="659" t="s">
        <v>1512</v>
      </c>
      <c r="C30" s="376" t="s">
        <v>1511</v>
      </c>
      <c r="D30" s="22"/>
      <c r="E30" s="22"/>
      <c r="F30" s="22"/>
      <c r="G30" s="22"/>
      <c r="H30" s="22"/>
      <c r="I30" s="22"/>
      <c r="J30" s="22"/>
      <c r="K30" s="22"/>
      <c r="L30" s="22"/>
      <c r="M30" s="328"/>
      <c r="N30" s="328"/>
    </row>
    <row r="31" spans="1:18" ht="18">
      <c r="A31" s="22"/>
      <c r="B31" s="985" t="s">
        <v>1510</v>
      </c>
      <c r="C31" s="22"/>
      <c r="D31" s="22"/>
      <c r="E31" s="22"/>
      <c r="F31" s="376"/>
      <c r="G31" s="22"/>
      <c r="H31" s="22"/>
      <c r="I31" s="22"/>
      <c r="J31" s="22"/>
      <c r="K31" s="22"/>
      <c r="L31" s="22"/>
      <c r="M31" s="328"/>
      <c r="N31" s="328"/>
    </row>
    <row r="32" spans="1:18">
      <c r="A32" s="22"/>
      <c r="B32" s="376" t="s">
        <v>1509</v>
      </c>
      <c r="C32" s="22"/>
      <c r="D32" s="22"/>
      <c r="E32" s="22"/>
      <c r="F32" s="22"/>
      <c r="G32" s="22"/>
      <c r="H32" s="22"/>
      <c r="I32" s="22"/>
      <c r="J32" s="22"/>
      <c r="K32" s="22"/>
      <c r="L32" s="22"/>
      <c r="M32" s="328"/>
      <c r="N32" s="328"/>
    </row>
    <row r="33" spans="1:14" ht="18">
      <c r="A33" s="22"/>
      <c r="B33" s="659" t="s">
        <v>1508</v>
      </c>
      <c r="C33" s="22"/>
      <c r="D33" s="22"/>
      <c r="E33" s="22"/>
      <c r="F33" s="22"/>
      <c r="G33" s="22"/>
      <c r="H33" s="22"/>
      <c r="I33" s="22"/>
      <c r="J33" s="22"/>
      <c r="K33" s="22"/>
      <c r="L33" s="22"/>
      <c r="M33" s="328"/>
      <c r="N33" s="328"/>
    </row>
    <row r="34" spans="1:14">
      <c r="A34" s="22"/>
      <c r="B34" s="376" t="s">
        <v>1507</v>
      </c>
      <c r="C34" s="22"/>
      <c r="D34" s="22"/>
      <c r="E34" s="22"/>
      <c r="F34" s="22"/>
      <c r="G34" s="22"/>
      <c r="H34" s="22"/>
      <c r="I34" s="22"/>
      <c r="J34" s="22"/>
      <c r="K34" s="22"/>
      <c r="L34" s="22"/>
      <c r="M34" s="328"/>
      <c r="N34" s="328"/>
    </row>
    <row r="35" spans="1:14">
      <c r="A35" s="2"/>
      <c r="B35" s="2"/>
      <c r="C35" s="2"/>
      <c r="D35" s="2"/>
      <c r="E35" s="2"/>
      <c r="F35" s="2"/>
      <c r="G35" s="22"/>
      <c r="H35" s="22"/>
      <c r="I35" s="22"/>
      <c r="J35" s="22"/>
      <c r="K35" s="22"/>
      <c r="L35" s="22"/>
      <c r="M35" s="328"/>
      <c r="N35" s="328"/>
    </row>
    <row r="36" spans="1:14">
      <c r="A36" s="2"/>
      <c r="B36" s="2"/>
      <c r="C36" s="2"/>
      <c r="D36" s="2"/>
      <c r="E36" s="2"/>
      <c r="F36" s="2"/>
      <c r="G36" s="2"/>
      <c r="H36" s="2"/>
      <c r="I36" s="2"/>
      <c r="J36" s="2"/>
      <c r="K36" s="2"/>
      <c r="L36" s="2"/>
    </row>
    <row r="37" spans="1:14" ht="18">
      <c r="A37" s="577" t="s">
        <v>9</v>
      </c>
      <c r="B37" s="376" t="s">
        <v>1506</v>
      </c>
      <c r="C37" s="22"/>
      <c r="D37" s="22"/>
      <c r="E37" s="376" t="s">
        <v>1505</v>
      </c>
      <c r="F37" s="22"/>
      <c r="G37" s="22"/>
      <c r="H37" s="22"/>
      <c r="I37" s="22"/>
      <c r="J37" s="22"/>
      <c r="K37" s="22"/>
      <c r="L37" s="22"/>
    </row>
    <row r="38" spans="1:14">
      <c r="A38" s="22"/>
      <c r="B38" s="376" t="s">
        <v>1504</v>
      </c>
      <c r="C38" s="22"/>
      <c r="D38" s="22"/>
      <c r="E38" s="22"/>
      <c r="F38" s="22"/>
      <c r="G38" s="22"/>
      <c r="H38" s="22"/>
      <c r="I38" s="22"/>
      <c r="J38" s="22"/>
      <c r="K38" s="22"/>
      <c r="L38" s="22"/>
    </row>
    <row r="39" spans="1:14">
      <c r="A39" s="37"/>
      <c r="B39" s="37"/>
      <c r="C39" s="37"/>
      <c r="D39" s="37"/>
      <c r="E39" s="37"/>
      <c r="F39" s="37"/>
      <c r="G39" s="37"/>
      <c r="H39" s="37"/>
      <c r="I39" s="37"/>
      <c r="J39" s="37"/>
      <c r="K39" s="37"/>
      <c r="L39" s="37"/>
    </row>
    <row r="40" spans="1:14">
      <c r="A40" s="37" t="s">
        <v>650</v>
      </c>
      <c r="B40" s="37"/>
      <c r="C40" s="37"/>
      <c r="D40" s="37"/>
      <c r="E40" s="37"/>
      <c r="F40" s="37"/>
      <c r="G40" s="37"/>
      <c r="H40" s="37"/>
      <c r="I40" s="37"/>
      <c r="J40" s="37"/>
      <c r="K40" s="37"/>
      <c r="L40" s="37"/>
    </row>
    <row r="41" spans="1:14">
      <c r="A41" s="37"/>
      <c r="B41" s="37"/>
      <c r="C41" s="37"/>
      <c r="D41" s="37"/>
      <c r="E41" s="37"/>
      <c r="F41" s="37"/>
      <c r="G41" s="37"/>
      <c r="H41" s="37"/>
      <c r="I41" s="37"/>
      <c r="J41" s="37"/>
      <c r="K41" s="37"/>
      <c r="L41" s="37"/>
    </row>
    <row r="42" spans="1:14" ht="31.2">
      <c r="A42" s="37"/>
      <c r="B42" s="980" t="s">
        <v>1503</v>
      </c>
      <c r="C42" s="980" t="s">
        <v>1497</v>
      </c>
      <c r="D42" s="980" t="s">
        <v>1288</v>
      </c>
      <c r="E42" s="980" t="s">
        <v>1387</v>
      </c>
      <c r="F42" s="980" t="s">
        <v>1502</v>
      </c>
      <c r="G42" s="37"/>
      <c r="H42" s="37"/>
      <c r="I42" s="37"/>
      <c r="J42" s="37"/>
      <c r="K42" s="37"/>
      <c r="L42" s="37"/>
    </row>
    <row r="43" spans="1:14">
      <c r="A43" s="37"/>
      <c r="B43" s="978" t="s">
        <v>1501</v>
      </c>
      <c r="C43" s="978">
        <f>D8+D9</f>
        <v>640</v>
      </c>
      <c r="D43" s="978">
        <f>E8+E9</f>
        <v>60000</v>
      </c>
      <c r="E43" s="976">
        <f>D43/C43</f>
        <v>93.75</v>
      </c>
      <c r="F43" s="979">
        <v>1</v>
      </c>
      <c r="G43" s="37"/>
      <c r="H43" s="37"/>
      <c r="I43" s="37"/>
      <c r="J43" s="37"/>
      <c r="K43" s="37"/>
      <c r="L43" s="37"/>
    </row>
    <row r="44" spans="1:14">
      <c r="A44" s="37"/>
      <c r="B44" s="978" t="s">
        <v>1500</v>
      </c>
      <c r="C44" s="978">
        <f>D10+D11</f>
        <v>360</v>
      </c>
      <c r="D44" s="978">
        <f>E10+E11</f>
        <v>50000</v>
      </c>
      <c r="E44" s="976">
        <f>D44/C44</f>
        <v>138.88888888888889</v>
      </c>
      <c r="F44" s="979">
        <f>E44/E43</f>
        <v>1.4814814814814814</v>
      </c>
      <c r="G44" s="327" t="s">
        <v>1499</v>
      </c>
      <c r="H44" s="37"/>
      <c r="I44" s="37"/>
      <c r="J44" s="37"/>
      <c r="K44" s="37"/>
      <c r="L44" s="37"/>
    </row>
    <row r="45" spans="1:14">
      <c r="A45" s="37"/>
      <c r="B45" s="978" t="s">
        <v>98</v>
      </c>
      <c r="C45" s="978">
        <v>1000</v>
      </c>
      <c r="D45" s="977">
        <v>110000</v>
      </c>
      <c r="E45" s="976">
        <f>D45/C45</f>
        <v>110</v>
      </c>
      <c r="F45" s="975"/>
      <c r="G45" s="37"/>
      <c r="H45" s="37"/>
      <c r="I45" s="37"/>
      <c r="J45" s="37"/>
      <c r="K45" s="37"/>
      <c r="L45" s="37"/>
    </row>
    <row r="46" spans="1:14">
      <c r="A46" s="37"/>
      <c r="B46" s="984"/>
      <c r="C46" s="984"/>
      <c r="D46" s="983"/>
      <c r="E46" s="982"/>
      <c r="F46" s="981"/>
      <c r="G46" s="37"/>
      <c r="H46" s="37"/>
      <c r="I46" s="37"/>
      <c r="J46" s="37"/>
      <c r="K46" s="37"/>
      <c r="L46" s="37"/>
    </row>
    <row r="47" spans="1:14" ht="31.2">
      <c r="B47" s="980" t="s">
        <v>1498</v>
      </c>
      <c r="C47" s="980" t="s">
        <v>1497</v>
      </c>
      <c r="D47" s="980" t="s">
        <v>1288</v>
      </c>
      <c r="E47" s="980" t="s">
        <v>1387</v>
      </c>
      <c r="F47" s="980" t="s">
        <v>1496</v>
      </c>
      <c r="M47" s="37"/>
    </row>
    <row r="48" spans="1:14">
      <c r="B48" s="978" t="s">
        <v>1495</v>
      </c>
      <c r="C48" s="978">
        <f>D8+D10</f>
        <v>720</v>
      </c>
      <c r="D48" s="978">
        <f>E8+E10</f>
        <v>90000</v>
      </c>
      <c r="E48" s="976">
        <f>D48/C48</f>
        <v>125</v>
      </c>
      <c r="F48" s="979">
        <v>1</v>
      </c>
      <c r="M48" s="37"/>
    </row>
    <row r="49" spans="1:14">
      <c r="B49" s="978" t="s">
        <v>1494</v>
      </c>
      <c r="C49" s="978">
        <f>D9+D11</f>
        <v>280</v>
      </c>
      <c r="D49" s="978">
        <f>E9+E11</f>
        <v>20000</v>
      </c>
      <c r="E49" s="976">
        <f>D49/C49</f>
        <v>71.428571428571431</v>
      </c>
      <c r="F49" s="979">
        <f>E49/E48</f>
        <v>0.5714285714285714</v>
      </c>
      <c r="G49" s="277" t="s">
        <v>1493</v>
      </c>
      <c r="M49" s="37"/>
    </row>
    <row r="50" spans="1:14">
      <c r="B50" s="978"/>
      <c r="C50" s="978">
        <v>1000</v>
      </c>
      <c r="D50" s="977">
        <v>110000</v>
      </c>
      <c r="E50" s="976">
        <f>D50/C50</f>
        <v>110</v>
      </c>
      <c r="F50" s="975"/>
    </row>
    <row r="52" spans="1:14">
      <c r="B52" s="1" t="s">
        <v>1492</v>
      </c>
      <c r="C52" s="604">
        <f>E12</f>
        <v>110000</v>
      </c>
      <c r="D52" s="277" t="s">
        <v>1489</v>
      </c>
      <c r="E52" s="974" t="s">
        <v>1491</v>
      </c>
    </row>
    <row r="53" spans="1:14">
      <c r="C53" s="973" t="s">
        <v>1490</v>
      </c>
      <c r="D53" s="277" t="s">
        <v>1489</v>
      </c>
      <c r="E53" s="972">
        <f>E12/(D8+D9*F49+D10*F44+D11*F44*F49)</f>
        <v>106.94444444444443</v>
      </c>
    </row>
    <row r="55" spans="1:14">
      <c r="A55" s="577" t="s">
        <v>7</v>
      </c>
      <c r="B55" s="22" t="s">
        <v>1488</v>
      </c>
      <c r="C55" s="22"/>
      <c r="D55" s="22"/>
      <c r="E55" s="22"/>
      <c r="F55" s="22"/>
      <c r="G55" s="22"/>
      <c r="H55" s="22"/>
      <c r="I55" s="22"/>
      <c r="J55" s="22"/>
      <c r="K55" s="22"/>
      <c r="L55" s="22"/>
    </row>
    <row r="56" spans="1:14">
      <c r="A56" s="2"/>
      <c r="B56" s="2"/>
      <c r="C56" s="2"/>
      <c r="D56" s="2"/>
      <c r="E56" s="2"/>
      <c r="F56" s="2"/>
      <c r="G56" s="22"/>
      <c r="H56" s="22"/>
      <c r="I56" s="22"/>
      <c r="J56" s="22"/>
      <c r="K56" s="22"/>
      <c r="L56" s="22"/>
    </row>
    <row r="57" spans="1:14">
      <c r="A57" s="37"/>
      <c r="B57" s="37"/>
      <c r="C57" s="37"/>
      <c r="D57" s="37"/>
      <c r="E57" s="37"/>
      <c r="F57" s="37"/>
      <c r="G57" s="37"/>
      <c r="H57" s="37"/>
      <c r="I57" s="37"/>
      <c r="J57" s="37"/>
      <c r="K57" s="37"/>
      <c r="L57" s="37"/>
    </row>
    <row r="58" spans="1:14">
      <c r="A58" s="37" t="s">
        <v>650</v>
      </c>
      <c r="B58" s="37"/>
      <c r="C58" s="37"/>
      <c r="D58" s="37"/>
      <c r="E58" s="37"/>
      <c r="F58" s="37"/>
      <c r="G58" s="37"/>
      <c r="H58" s="37"/>
      <c r="I58" s="37"/>
      <c r="J58" s="37"/>
      <c r="K58" s="37"/>
      <c r="L58" s="37"/>
    </row>
    <row r="59" spans="1:14">
      <c r="A59" s="37"/>
      <c r="B59" s="37"/>
      <c r="C59" s="37"/>
      <c r="D59" s="37"/>
      <c r="E59" s="37"/>
      <c r="F59" s="37"/>
      <c r="G59" s="37"/>
      <c r="H59" s="37"/>
      <c r="I59" s="37"/>
      <c r="J59" s="37"/>
      <c r="K59" s="37"/>
      <c r="L59" s="37"/>
    </row>
    <row r="60" spans="1:14">
      <c r="A60" s="37"/>
      <c r="B60" s="37" t="s">
        <v>1487</v>
      </c>
      <c r="C60" s="37"/>
      <c r="D60" s="37"/>
      <c r="E60" s="37"/>
      <c r="F60" s="37"/>
      <c r="G60" s="37"/>
      <c r="H60" s="37"/>
      <c r="I60" s="37"/>
      <c r="J60" s="37"/>
      <c r="K60" s="37"/>
      <c r="L60" s="37"/>
    </row>
    <row r="61" spans="1:14">
      <c r="B61" s="1" t="s">
        <v>1486</v>
      </c>
    </row>
    <row r="63" spans="1:14">
      <c r="B63" s="1" t="s">
        <v>1485</v>
      </c>
      <c r="M63" s="37"/>
      <c r="N63" s="37"/>
    </row>
    <row r="64" spans="1:14">
      <c r="B64" s="1" t="s">
        <v>1484</v>
      </c>
      <c r="M64" s="37"/>
      <c r="N64" s="37"/>
    </row>
    <row r="66" spans="1:13">
      <c r="A66" s="577" t="s">
        <v>4</v>
      </c>
      <c r="B66" s="22" t="s">
        <v>1483</v>
      </c>
      <c r="C66" s="22"/>
      <c r="D66" s="22"/>
      <c r="E66" s="22"/>
      <c r="F66" s="22"/>
      <c r="G66" s="22"/>
      <c r="H66" s="22"/>
      <c r="I66" s="22"/>
      <c r="J66" s="22"/>
      <c r="K66" s="22"/>
      <c r="L66" s="22"/>
    </row>
    <row r="67" spans="1:13">
      <c r="A67" s="2"/>
      <c r="B67" s="2"/>
      <c r="C67" s="2"/>
      <c r="D67" s="2"/>
      <c r="E67" s="2"/>
      <c r="F67" s="2"/>
      <c r="G67" s="22"/>
      <c r="H67" s="22"/>
      <c r="I67" s="22"/>
      <c r="J67" s="22"/>
      <c r="K67" s="22"/>
      <c r="L67" s="22"/>
    </row>
    <row r="68" spans="1:13">
      <c r="A68" s="37"/>
      <c r="B68" s="37"/>
      <c r="C68" s="37"/>
      <c r="D68" s="37"/>
      <c r="E68" s="37"/>
      <c r="F68" s="37"/>
      <c r="G68" s="37"/>
      <c r="H68" s="37"/>
      <c r="I68" s="37"/>
      <c r="J68" s="37"/>
      <c r="K68" s="37"/>
      <c r="L68" s="37"/>
    </row>
    <row r="69" spans="1:13">
      <c r="A69" s="37" t="s">
        <v>650</v>
      </c>
      <c r="B69" s="37"/>
      <c r="C69" s="37"/>
      <c r="D69" s="37"/>
      <c r="E69" s="37"/>
      <c r="F69" s="37"/>
      <c r="G69" s="37"/>
      <c r="H69" s="37"/>
      <c r="I69" s="37"/>
      <c r="J69" s="37"/>
      <c r="K69" s="37"/>
      <c r="L69" s="37"/>
    </row>
    <row r="70" spans="1:13">
      <c r="A70" s="37"/>
      <c r="B70" s="37"/>
      <c r="C70" s="37"/>
      <c r="D70" s="37"/>
      <c r="E70" s="37"/>
      <c r="F70" s="37"/>
      <c r="G70" s="37"/>
      <c r="H70" s="37"/>
      <c r="I70" s="37"/>
      <c r="J70" s="37"/>
      <c r="K70" s="37"/>
      <c r="L70" s="37"/>
    </row>
    <row r="71" spans="1:13">
      <c r="A71" s="37"/>
      <c r="B71" s="37" t="s">
        <v>1482</v>
      </c>
      <c r="C71" s="37"/>
      <c r="D71" s="37"/>
      <c r="E71" s="37"/>
      <c r="F71" s="37"/>
      <c r="G71" s="37"/>
      <c r="H71" s="37"/>
      <c r="I71" s="37"/>
      <c r="J71" s="37"/>
      <c r="K71" s="37"/>
      <c r="L71" s="37"/>
    </row>
    <row r="72" spans="1:13">
      <c r="B72" s="1" t="s">
        <v>1481</v>
      </c>
    </row>
    <row r="74" spans="1:13">
      <c r="B74" s="1" t="s">
        <v>1480</v>
      </c>
      <c r="M74" s="37"/>
    </row>
    <row r="75" spans="1:13">
      <c r="B75" s="1" t="s">
        <v>1479</v>
      </c>
      <c r="M75" s="37"/>
    </row>
    <row r="77" spans="1:13">
      <c r="A77" s="2"/>
      <c r="B77" s="2"/>
      <c r="C77" s="2"/>
      <c r="D77" s="2"/>
      <c r="E77" s="2"/>
      <c r="F77" s="2"/>
      <c r="G77" s="22"/>
      <c r="H77" s="22"/>
      <c r="I77" s="22"/>
      <c r="J77" s="22"/>
      <c r="K77" s="22"/>
      <c r="L77" s="22"/>
    </row>
    <row r="78" spans="1:13">
      <c r="A78" s="22" t="s">
        <v>1478</v>
      </c>
      <c r="B78" s="2"/>
      <c r="C78" s="2"/>
      <c r="D78" s="2"/>
      <c r="E78" s="2"/>
      <c r="F78" s="2"/>
      <c r="G78" s="22"/>
      <c r="H78" s="22"/>
      <c r="I78" s="22"/>
      <c r="J78" s="22"/>
      <c r="K78" s="22"/>
      <c r="L78" s="22"/>
    </row>
    <row r="79" spans="1:13">
      <c r="A79" s="2"/>
      <c r="B79" s="2"/>
      <c r="C79" s="2"/>
      <c r="D79" s="2"/>
      <c r="E79" s="2"/>
      <c r="F79" s="2"/>
      <c r="G79" s="22"/>
      <c r="H79" s="22"/>
      <c r="I79" s="22"/>
      <c r="J79" s="22"/>
      <c r="K79" s="22"/>
      <c r="L79" s="22"/>
    </row>
    <row r="80" spans="1:13">
      <c r="A80" s="2"/>
      <c r="B80" s="2"/>
      <c r="C80" s="2"/>
      <c r="D80" s="2"/>
      <c r="E80" s="2"/>
      <c r="F80" s="2"/>
      <c r="G80" s="2"/>
      <c r="H80" s="2"/>
      <c r="I80" s="2"/>
      <c r="J80" s="2"/>
      <c r="K80" s="2"/>
      <c r="L80" s="2"/>
    </row>
    <row r="81" spans="1:12">
      <c r="A81" s="577" t="s">
        <v>48</v>
      </c>
      <c r="B81" s="22" t="s">
        <v>1477</v>
      </c>
      <c r="C81" s="22"/>
      <c r="D81" s="22"/>
      <c r="E81" s="22"/>
      <c r="F81" s="22"/>
      <c r="G81" s="22"/>
      <c r="H81" s="22"/>
      <c r="I81" s="22"/>
      <c r="J81" s="22"/>
      <c r="K81" s="22"/>
      <c r="L81" s="22"/>
    </row>
    <row r="82" spans="1:12">
      <c r="A82" s="2"/>
      <c r="B82" s="2"/>
      <c r="C82" s="2"/>
      <c r="D82" s="2"/>
      <c r="E82" s="2"/>
      <c r="F82" s="2"/>
      <c r="G82" s="22"/>
      <c r="H82" s="22"/>
      <c r="I82" s="22"/>
      <c r="J82" s="22"/>
      <c r="K82" s="22"/>
      <c r="L82" s="22"/>
    </row>
    <row r="83" spans="1:12">
      <c r="A83" s="37"/>
      <c r="B83" s="37"/>
      <c r="C83" s="37"/>
      <c r="D83" s="37"/>
      <c r="E83" s="37"/>
      <c r="F83" s="37"/>
      <c r="G83" s="37"/>
      <c r="H83" s="37"/>
      <c r="I83" s="37"/>
      <c r="J83" s="37"/>
      <c r="K83" s="37"/>
      <c r="L83" s="37"/>
    </row>
    <row r="84" spans="1:12">
      <c r="A84" s="37" t="s">
        <v>650</v>
      </c>
      <c r="B84" s="37"/>
      <c r="C84" s="37"/>
      <c r="D84" s="37"/>
      <c r="E84" s="37"/>
      <c r="F84" s="37"/>
      <c r="G84" s="37"/>
      <c r="H84" s="37"/>
      <c r="I84" s="37"/>
      <c r="J84" s="37"/>
      <c r="K84" s="37"/>
      <c r="L84" s="37"/>
    </row>
    <row r="85" spans="1:12">
      <c r="A85" s="37"/>
      <c r="B85" s="37"/>
      <c r="C85" s="37"/>
      <c r="D85" s="37"/>
      <c r="E85" s="37"/>
      <c r="F85" s="37"/>
      <c r="G85" s="37"/>
      <c r="H85" s="37"/>
      <c r="I85" s="37"/>
      <c r="J85" s="37"/>
      <c r="K85" s="37"/>
      <c r="L85" s="37"/>
    </row>
    <row r="86" spans="1:12">
      <c r="A86" s="37"/>
      <c r="B86" s="37" t="s">
        <v>1476</v>
      </c>
      <c r="C86" s="37"/>
      <c r="D86" s="37"/>
      <c r="E86" s="37"/>
      <c r="F86" s="37"/>
      <c r="G86" s="37"/>
      <c r="H86" s="37"/>
      <c r="I86" s="37"/>
      <c r="J86" s="37"/>
      <c r="K86" s="37"/>
      <c r="L86" s="37"/>
    </row>
    <row r="87" spans="1:12">
      <c r="B87" s="1" t="s">
        <v>1475</v>
      </c>
    </row>
    <row r="88" spans="1:12">
      <c r="B88" s="1" t="s">
        <v>1474</v>
      </c>
    </row>
    <row r="202" spans="1:12">
      <c r="A202" s="971" t="s">
        <v>129</v>
      </c>
      <c r="B202" s="167" t="s">
        <v>1473</v>
      </c>
      <c r="C202" s="167"/>
      <c r="D202" s="167"/>
      <c r="E202" s="167"/>
      <c r="F202" s="167"/>
      <c r="G202" s="167"/>
      <c r="H202" s="167"/>
      <c r="I202" s="167"/>
      <c r="J202" s="167"/>
      <c r="K202" s="167"/>
      <c r="L202" s="167"/>
    </row>
    <row r="203" spans="1:12">
      <c r="A203" s="169"/>
      <c r="B203" s="169"/>
      <c r="C203" s="169"/>
      <c r="D203" s="169"/>
      <c r="E203" s="169"/>
      <c r="F203" s="169"/>
      <c r="G203" s="167"/>
      <c r="H203" s="167"/>
      <c r="I203" s="167"/>
      <c r="J203" s="167"/>
      <c r="K203" s="167"/>
      <c r="L203" s="167"/>
    </row>
    <row r="204" spans="1:12">
      <c r="A204" s="37"/>
      <c r="B204" s="37"/>
      <c r="C204" s="37"/>
      <c r="D204" s="37"/>
      <c r="E204" s="37"/>
      <c r="F204" s="37"/>
      <c r="G204" s="37"/>
      <c r="H204" s="37"/>
      <c r="I204" s="37"/>
      <c r="J204" s="37"/>
      <c r="K204" s="37"/>
      <c r="L204" s="37"/>
    </row>
    <row r="205" spans="1:12">
      <c r="A205" s="37" t="s">
        <v>650</v>
      </c>
      <c r="B205" s="37"/>
      <c r="C205" s="37"/>
      <c r="D205" s="37"/>
      <c r="E205" s="37"/>
      <c r="F205" s="37"/>
      <c r="G205" s="37"/>
      <c r="H205" s="37"/>
      <c r="I205" s="37"/>
      <c r="J205" s="37"/>
      <c r="K205" s="37"/>
      <c r="L205" s="37"/>
    </row>
    <row r="206" spans="1:12">
      <c r="A206" s="37"/>
      <c r="B206" s="37"/>
      <c r="C206" s="37"/>
      <c r="D206" s="37"/>
      <c r="E206" s="37"/>
      <c r="F206" s="37"/>
      <c r="G206" s="37"/>
      <c r="H206" s="37"/>
      <c r="I206" s="37"/>
      <c r="J206" s="37"/>
      <c r="K206" s="37"/>
      <c r="L206" s="37"/>
    </row>
    <row r="207" spans="1:12">
      <c r="A207" s="37"/>
      <c r="B207" s="37"/>
      <c r="C207" s="37"/>
      <c r="D207" s="37"/>
      <c r="E207" s="37"/>
      <c r="F207" s="37"/>
      <c r="G207" s="37"/>
      <c r="H207" s="37"/>
      <c r="I207" s="37"/>
      <c r="J207" s="37"/>
      <c r="K207" s="37"/>
      <c r="L207" s="37"/>
    </row>
    <row r="218" spans="1:12">
      <c r="A218" s="971" t="s">
        <v>235</v>
      </c>
      <c r="B218" s="167" t="s">
        <v>1473</v>
      </c>
      <c r="C218" s="167"/>
      <c r="D218" s="167"/>
      <c r="E218" s="167"/>
      <c r="F218" s="167"/>
      <c r="G218" s="167"/>
      <c r="H218" s="167"/>
      <c r="I218" s="167"/>
      <c r="J218" s="167"/>
      <c r="K218" s="167"/>
      <c r="L218" s="167"/>
    </row>
    <row r="219" spans="1:12">
      <c r="A219" s="169"/>
      <c r="B219" s="169"/>
      <c r="C219" s="169"/>
      <c r="D219" s="169"/>
      <c r="E219" s="169"/>
      <c r="F219" s="169"/>
      <c r="G219" s="167"/>
      <c r="H219" s="167"/>
      <c r="I219" s="167"/>
      <c r="J219" s="167"/>
      <c r="K219" s="167"/>
      <c r="L219" s="167"/>
    </row>
    <row r="220" spans="1:12">
      <c r="A220" s="37"/>
      <c r="B220" s="37"/>
      <c r="C220" s="37"/>
      <c r="D220" s="37"/>
      <c r="E220" s="37"/>
      <c r="F220" s="37"/>
      <c r="G220" s="37"/>
      <c r="H220" s="37"/>
      <c r="I220" s="37"/>
      <c r="J220" s="37"/>
      <c r="K220" s="37"/>
      <c r="L220" s="37"/>
    </row>
    <row r="221" spans="1:12">
      <c r="A221" s="37" t="s">
        <v>650</v>
      </c>
      <c r="B221" s="37"/>
      <c r="C221" s="37"/>
      <c r="D221" s="37"/>
      <c r="E221" s="37"/>
      <c r="F221" s="37"/>
      <c r="G221" s="37"/>
      <c r="H221" s="37"/>
      <c r="I221" s="37"/>
      <c r="J221" s="37"/>
      <c r="K221" s="37"/>
      <c r="L221" s="37"/>
    </row>
    <row r="222" spans="1:12">
      <c r="A222" s="37"/>
      <c r="B222" s="37"/>
      <c r="C222" s="37"/>
      <c r="D222" s="37"/>
      <c r="E222" s="37"/>
      <c r="F222" s="37"/>
      <c r="G222" s="37"/>
      <c r="H222" s="37"/>
      <c r="I222" s="37"/>
      <c r="J222" s="37"/>
      <c r="K222" s="37"/>
      <c r="L222" s="37"/>
    </row>
    <row r="223" spans="1:12">
      <c r="A223" s="37"/>
      <c r="B223" s="37"/>
      <c r="C223" s="37"/>
      <c r="D223" s="37"/>
      <c r="E223" s="37"/>
      <c r="F223" s="37"/>
      <c r="G223" s="37"/>
      <c r="H223" s="37"/>
      <c r="I223" s="37"/>
      <c r="J223" s="37"/>
      <c r="K223" s="37"/>
      <c r="L223" s="37"/>
    </row>
    <row r="234" spans="1:12">
      <c r="A234" s="971" t="s">
        <v>230</v>
      </c>
      <c r="B234" s="167" t="s">
        <v>1473</v>
      </c>
      <c r="C234" s="167"/>
      <c r="D234" s="167"/>
      <c r="E234" s="167"/>
      <c r="F234" s="167"/>
      <c r="G234" s="167"/>
      <c r="H234" s="167"/>
      <c r="I234" s="167"/>
      <c r="J234" s="167"/>
      <c r="K234" s="167"/>
      <c r="L234" s="167"/>
    </row>
    <row r="235" spans="1:12">
      <c r="A235" s="169"/>
      <c r="B235" s="169"/>
      <c r="C235" s="169"/>
      <c r="D235" s="169"/>
      <c r="E235" s="169"/>
      <c r="F235" s="169"/>
      <c r="G235" s="167"/>
      <c r="H235" s="167"/>
      <c r="I235" s="167"/>
      <c r="J235" s="167"/>
      <c r="K235" s="167"/>
      <c r="L235" s="167"/>
    </row>
    <row r="236" spans="1:12">
      <c r="A236" s="37"/>
      <c r="B236" s="37"/>
      <c r="C236" s="37"/>
      <c r="D236" s="37"/>
      <c r="E236" s="37"/>
      <c r="F236" s="37"/>
      <c r="G236" s="37"/>
      <c r="H236" s="37"/>
      <c r="I236" s="37"/>
      <c r="J236" s="37"/>
      <c r="K236" s="37"/>
      <c r="L236" s="37"/>
    </row>
    <row r="237" spans="1:12">
      <c r="A237" s="37" t="s">
        <v>650</v>
      </c>
      <c r="B237" s="37"/>
      <c r="C237" s="37"/>
      <c r="D237" s="37"/>
      <c r="E237" s="37"/>
      <c r="F237" s="37"/>
      <c r="G237" s="37"/>
      <c r="H237" s="37"/>
      <c r="I237" s="37"/>
      <c r="J237" s="37"/>
      <c r="K237" s="37"/>
      <c r="L237" s="37"/>
    </row>
    <row r="238" spans="1:12">
      <c r="A238" s="37"/>
      <c r="B238" s="37"/>
      <c r="C238" s="37"/>
      <c r="D238" s="37"/>
      <c r="E238" s="37"/>
      <c r="F238" s="37"/>
      <c r="G238" s="37"/>
      <c r="H238" s="37"/>
      <c r="I238" s="37"/>
      <c r="J238" s="37"/>
      <c r="K238" s="37"/>
      <c r="L238" s="37"/>
    </row>
    <row r="239" spans="1:12">
      <c r="A239" s="37"/>
      <c r="B239" s="37"/>
      <c r="C239" s="37"/>
      <c r="D239" s="37"/>
      <c r="E239" s="37"/>
      <c r="F239" s="37"/>
      <c r="G239" s="37"/>
      <c r="H239" s="37"/>
      <c r="I239" s="37"/>
      <c r="J239" s="37"/>
      <c r="K239" s="37"/>
      <c r="L239" s="37"/>
    </row>
  </sheetData>
  <mergeCells count="5">
    <mergeCell ref="A3:K4"/>
    <mergeCell ref="B6:B7"/>
    <mergeCell ref="D6:D7"/>
    <mergeCell ref="B8:B9"/>
    <mergeCell ref="B10:B11"/>
  </mergeCells>
  <pageMargins left="0.7" right="0.7" top="0.75" bottom="0.75" header="0.3" footer="0.3"/>
  <pageSetup orientation="portrait" verticalDpi="0" r:id="rId1"/>
  <drawing r:id="rId2"/>
  <legacyDrawing r:id="rId3"/>
  <oleObjects>
    <mc:AlternateContent xmlns:mc="http://schemas.openxmlformats.org/markup-compatibility/2006">
      <mc:Choice Requires="x14">
        <oleObject progId="Equation.DSMT4" shapeId="21505" r:id="rId4">
          <objectPr defaultSize="0" autoPict="0" r:id="rId5">
            <anchor moveWithCells="1" sizeWithCells="1">
              <from>
                <xdr:col>6</xdr:col>
                <xdr:colOff>175260</xdr:colOff>
                <xdr:row>28</xdr:row>
                <xdr:rowOff>22860</xdr:rowOff>
              </from>
              <to>
                <xdr:col>7</xdr:col>
                <xdr:colOff>289560</xdr:colOff>
                <xdr:row>29</xdr:row>
                <xdr:rowOff>60960</xdr:rowOff>
              </to>
            </anchor>
          </objectPr>
        </oleObject>
      </mc:Choice>
      <mc:Fallback>
        <oleObject progId="Equation.DSMT4" shapeId="21505" r:id="rId4"/>
      </mc:Fallback>
    </mc:AlternateContent>
    <mc:AlternateContent xmlns:mc="http://schemas.openxmlformats.org/markup-compatibility/2006">
      <mc:Choice Requires="x14">
        <oleObject progId="Equation.DSMT4" shapeId="21506" r:id="rId6">
          <objectPr defaultSize="0" autoPict="0" r:id="rId7">
            <anchor moveWithCells="1" sizeWithCells="1">
              <from>
                <xdr:col>1</xdr:col>
                <xdr:colOff>160020</xdr:colOff>
                <xdr:row>29</xdr:row>
                <xdr:rowOff>38100</xdr:rowOff>
              </from>
              <to>
                <xdr:col>1</xdr:col>
                <xdr:colOff>304800</xdr:colOff>
                <xdr:row>30</xdr:row>
                <xdr:rowOff>0</xdr:rowOff>
              </to>
            </anchor>
          </objectPr>
        </oleObject>
      </mc:Choice>
      <mc:Fallback>
        <oleObject progId="Equation.DSMT4" shapeId="21506" r:id="rId6"/>
      </mc:Fallback>
    </mc:AlternateContent>
    <mc:AlternateContent xmlns:mc="http://schemas.openxmlformats.org/markup-compatibility/2006">
      <mc:Choice Requires="x14">
        <oleObject progId="Equation.DSMT4" shapeId="21507" r:id="rId8">
          <objectPr defaultSize="0" autoPict="0" r:id="rId7">
            <anchor moveWithCells="1" sizeWithCells="1">
              <from>
                <xdr:col>3</xdr:col>
                <xdr:colOff>556260</xdr:colOff>
                <xdr:row>36</xdr:row>
                <xdr:rowOff>60960</xdr:rowOff>
              </from>
              <to>
                <xdr:col>3</xdr:col>
                <xdr:colOff>693420</xdr:colOff>
                <xdr:row>36</xdr:row>
                <xdr:rowOff>220980</xdr:rowOff>
              </to>
            </anchor>
          </objectPr>
        </oleObject>
      </mc:Choice>
      <mc:Fallback>
        <oleObject progId="Equation.DSMT4" shapeId="21507" r:id="rId8"/>
      </mc:Fallback>
    </mc:AlternateContent>
  </oleObjec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0442F-669F-410C-9D83-503B6317BAA8}">
  <dimension ref="A1:R53"/>
  <sheetViews>
    <sheetView topLeftCell="A14" zoomScaleNormal="100" workbookViewId="0"/>
  </sheetViews>
  <sheetFormatPr defaultColWidth="8.88671875" defaultRowHeight="15.6"/>
  <cols>
    <col min="1" max="1" width="8.88671875" style="1" customWidth="1"/>
    <col min="2" max="2" width="29.33203125" style="1" customWidth="1"/>
    <col min="3" max="6" width="13.6640625" style="1" customWidth="1"/>
    <col min="7" max="7" width="12.109375" style="1" customWidth="1"/>
    <col min="8" max="8" width="25.33203125" style="1" customWidth="1"/>
    <col min="9" max="16384" width="8.88671875" style="1"/>
  </cols>
  <sheetData>
    <row r="1" spans="1:12" ht="17.399999999999999">
      <c r="A1" s="23" t="s">
        <v>1430</v>
      </c>
      <c r="B1" s="22"/>
      <c r="C1" s="22" t="s">
        <v>1564</v>
      </c>
      <c r="D1" s="22"/>
      <c r="E1" s="22"/>
      <c r="F1" s="22"/>
      <c r="G1" s="22"/>
      <c r="H1" s="22"/>
      <c r="I1" s="22"/>
      <c r="J1" s="22"/>
      <c r="K1" s="22"/>
      <c r="L1" s="2"/>
    </row>
    <row r="2" spans="1:12">
      <c r="A2" s="22"/>
      <c r="B2" s="22"/>
      <c r="C2" s="22"/>
      <c r="D2" s="22"/>
      <c r="E2" s="22"/>
      <c r="F2" s="22"/>
      <c r="G2" s="22"/>
      <c r="H2" s="22"/>
      <c r="I2" s="22"/>
      <c r="J2" s="22"/>
      <c r="K2" s="22"/>
      <c r="L2" s="2"/>
    </row>
    <row r="3" spans="1:12">
      <c r="A3" s="376" t="s">
        <v>1563</v>
      </c>
      <c r="B3" s="22"/>
      <c r="C3" s="22"/>
      <c r="D3" s="22"/>
      <c r="E3" s="22"/>
      <c r="F3" s="22"/>
      <c r="G3" s="22"/>
      <c r="H3" s="22"/>
      <c r="I3" s="22"/>
      <c r="J3" s="22"/>
      <c r="K3" s="22"/>
      <c r="L3" s="2"/>
    </row>
    <row r="4" spans="1:12">
      <c r="A4" s="376"/>
      <c r="B4" s="22"/>
      <c r="C4" s="22"/>
      <c r="D4" s="22"/>
      <c r="E4" s="22"/>
      <c r="F4" s="22"/>
      <c r="G4" s="22"/>
      <c r="H4" s="22"/>
      <c r="I4" s="22"/>
      <c r="J4" s="22"/>
      <c r="K4" s="22"/>
      <c r="L4" s="22"/>
    </row>
    <row r="5" spans="1:12" ht="28.2" customHeight="1">
      <c r="A5" s="22"/>
      <c r="B5" s="1021"/>
      <c r="C5" s="1021"/>
      <c r="D5" s="1751" t="s">
        <v>1562</v>
      </c>
      <c r="E5" s="1751"/>
      <c r="F5" s="22"/>
      <c r="G5" s="22"/>
      <c r="H5" s="22"/>
      <c r="I5" s="22"/>
      <c r="J5" s="22"/>
      <c r="K5" s="22"/>
      <c r="L5" s="22"/>
    </row>
    <row r="6" spans="1:12" ht="31.2">
      <c r="A6" s="22"/>
      <c r="B6" s="335" t="s">
        <v>1544</v>
      </c>
      <c r="C6" s="335" t="s">
        <v>1543</v>
      </c>
      <c r="D6" s="334" t="s">
        <v>1561</v>
      </c>
      <c r="E6" s="332" t="s">
        <v>1540</v>
      </c>
      <c r="F6" s="22"/>
      <c r="G6" s="22"/>
      <c r="H6" s="22"/>
      <c r="I6" s="22"/>
      <c r="J6" s="22"/>
      <c r="K6" s="22"/>
      <c r="L6" s="22"/>
    </row>
    <row r="7" spans="1:12">
      <c r="A7" s="22"/>
      <c r="B7" s="1863" t="s">
        <v>1558</v>
      </c>
      <c r="C7" s="1020">
        <v>1</v>
      </c>
      <c r="D7" s="1019">
        <v>14000</v>
      </c>
      <c r="E7" s="1019">
        <v>35000</v>
      </c>
      <c r="F7" s="22"/>
      <c r="G7" s="22"/>
      <c r="H7" s="22"/>
      <c r="I7" s="22"/>
      <c r="J7" s="22"/>
      <c r="K7" s="22"/>
      <c r="L7" s="22"/>
    </row>
    <row r="8" spans="1:12">
      <c r="A8" s="22"/>
      <c r="B8" s="1851"/>
      <c r="C8" s="803">
        <v>2</v>
      </c>
      <c r="D8" s="1018">
        <v>32000</v>
      </c>
      <c r="E8" s="1018">
        <v>20000</v>
      </c>
      <c r="F8" s="22"/>
      <c r="G8" s="22"/>
      <c r="H8" s="22"/>
      <c r="I8" s="22"/>
      <c r="J8" s="22"/>
      <c r="K8" s="22"/>
      <c r="L8" s="22"/>
    </row>
    <row r="9" spans="1:12">
      <c r="A9" s="22"/>
      <c r="B9" s="1851" t="s">
        <v>1557</v>
      </c>
      <c r="C9" s="1020">
        <v>3</v>
      </c>
      <c r="D9" s="1019">
        <v>22000</v>
      </c>
      <c r="E9" s="1019">
        <v>16000</v>
      </c>
      <c r="F9" s="22"/>
      <c r="G9" s="22"/>
      <c r="H9" s="22"/>
      <c r="I9" s="22"/>
      <c r="J9" s="22"/>
      <c r="K9" s="22"/>
      <c r="L9" s="22"/>
    </row>
    <row r="10" spans="1:12">
      <c r="A10" s="22"/>
      <c r="B10" s="1851"/>
      <c r="C10" s="803">
        <v>4</v>
      </c>
      <c r="D10" s="1018">
        <v>10000</v>
      </c>
      <c r="E10" s="1018">
        <v>3000</v>
      </c>
      <c r="F10" s="22"/>
      <c r="G10" s="22"/>
      <c r="H10" s="22"/>
      <c r="I10" s="22"/>
      <c r="J10" s="22"/>
      <c r="K10" s="22"/>
      <c r="L10" s="22"/>
    </row>
    <row r="11" spans="1:12">
      <c r="A11" s="376"/>
      <c r="B11" s="22"/>
      <c r="C11" s="22"/>
      <c r="D11" s="22"/>
      <c r="E11" s="22"/>
      <c r="F11" s="22"/>
      <c r="G11" s="22"/>
      <c r="H11" s="22"/>
      <c r="I11" s="22"/>
      <c r="J11" s="22"/>
      <c r="K11" s="22"/>
      <c r="L11" s="22"/>
    </row>
    <row r="12" spans="1:12" ht="46.2" customHeight="1">
      <c r="A12" s="22"/>
      <c r="B12" s="332" t="s">
        <v>1544</v>
      </c>
      <c r="C12" s="1860" t="s">
        <v>1560</v>
      </c>
      <c r="D12" s="1861"/>
      <c r="E12" s="1860" t="s">
        <v>1559</v>
      </c>
      <c r="F12" s="1861"/>
      <c r="G12" s="22"/>
      <c r="H12" s="22"/>
      <c r="I12" s="22"/>
      <c r="J12" s="22"/>
      <c r="K12" s="22"/>
      <c r="L12" s="22"/>
    </row>
    <row r="13" spans="1:12">
      <c r="A13" s="22"/>
      <c r="B13" s="628" t="s">
        <v>1558</v>
      </c>
      <c r="C13" s="1755">
        <v>88600</v>
      </c>
      <c r="D13" s="1755"/>
      <c r="E13" s="1862">
        <v>0.16</v>
      </c>
      <c r="F13" s="1862"/>
      <c r="G13" s="22"/>
      <c r="H13" s="22"/>
      <c r="I13" s="22"/>
      <c r="J13" s="22"/>
      <c r="K13" s="22"/>
      <c r="L13" s="22"/>
    </row>
    <row r="14" spans="1:12">
      <c r="A14" s="22"/>
      <c r="B14" s="628" t="s">
        <v>1557</v>
      </c>
      <c r="C14" s="1755">
        <v>92200</v>
      </c>
      <c r="D14" s="1755"/>
      <c r="E14" s="1862">
        <v>0.38</v>
      </c>
      <c r="F14" s="1862"/>
      <c r="G14" s="22"/>
      <c r="H14" s="22"/>
      <c r="I14" s="22"/>
      <c r="J14" s="22"/>
      <c r="K14" s="22"/>
      <c r="L14" s="22"/>
    </row>
    <row r="15" spans="1:12">
      <c r="A15" s="376"/>
      <c r="B15" s="325"/>
      <c r="C15" s="22"/>
      <c r="D15" s="22"/>
      <c r="E15" s="22"/>
      <c r="F15" s="22"/>
      <c r="G15" s="22"/>
      <c r="H15" s="22"/>
      <c r="I15" s="22"/>
      <c r="J15" s="22"/>
      <c r="K15" s="22"/>
      <c r="L15" s="22"/>
    </row>
    <row r="16" spans="1:12">
      <c r="A16" s="22"/>
      <c r="B16" s="659" t="s">
        <v>1556</v>
      </c>
      <c r="C16" s="1017"/>
      <c r="D16" s="653">
        <v>20000</v>
      </c>
      <c r="E16" s="22"/>
      <c r="F16" s="22"/>
      <c r="G16" s="22"/>
      <c r="H16" s="22"/>
      <c r="I16" s="22"/>
      <c r="J16" s="22"/>
      <c r="K16" s="22"/>
      <c r="L16" s="22"/>
    </row>
    <row r="17" spans="1:18">
      <c r="A17" s="22"/>
      <c r="B17" s="659" t="s">
        <v>1555</v>
      </c>
      <c r="C17" s="22"/>
      <c r="D17" s="653">
        <v>45000</v>
      </c>
      <c r="E17" s="22"/>
      <c r="F17" s="22"/>
      <c r="G17" s="22"/>
      <c r="H17" s="22"/>
      <c r="I17" s="22"/>
      <c r="J17" s="22"/>
      <c r="K17" s="22"/>
      <c r="L17" s="22"/>
    </row>
    <row r="18" spans="1:18">
      <c r="A18" s="22"/>
      <c r="B18" s="659" t="s">
        <v>1554</v>
      </c>
      <c r="C18" s="22"/>
      <c r="D18" s="498">
        <v>0.67</v>
      </c>
      <c r="E18" s="22"/>
      <c r="F18" s="22"/>
      <c r="G18" s="22"/>
      <c r="H18" s="22"/>
      <c r="I18" s="22"/>
      <c r="J18" s="22"/>
      <c r="K18" s="22"/>
      <c r="L18" s="22"/>
    </row>
    <row r="19" spans="1:18">
      <c r="A19" s="22"/>
      <c r="B19" s="659" t="s">
        <v>1553</v>
      </c>
      <c r="C19" s="22"/>
      <c r="D19" s="22"/>
      <c r="E19" s="22"/>
      <c r="F19" s="22"/>
      <c r="G19" s="22"/>
      <c r="H19" s="22"/>
      <c r="I19" s="22"/>
      <c r="J19" s="22"/>
      <c r="K19" s="22"/>
      <c r="L19" s="22"/>
    </row>
    <row r="20" spans="1:18">
      <c r="A20" s="22"/>
      <c r="B20" s="1016" t="s">
        <v>1552</v>
      </c>
      <c r="C20" s="22"/>
      <c r="D20" s="22"/>
      <c r="E20" s="22"/>
      <c r="F20" s="653">
        <v>2000000</v>
      </c>
      <c r="G20" s="22"/>
      <c r="H20" s="22"/>
      <c r="I20" s="22"/>
      <c r="J20" s="22"/>
      <c r="K20" s="22"/>
      <c r="L20" s="22"/>
    </row>
    <row r="21" spans="1:18">
      <c r="A21" s="22"/>
      <c r="B21" s="22"/>
      <c r="C21" s="22"/>
      <c r="D21" s="22"/>
      <c r="E21" s="22"/>
      <c r="F21" s="22"/>
      <c r="G21" s="22"/>
      <c r="H21" s="22"/>
      <c r="I21" s="22"/>
      <c r="J21" s="22"/>
      <c r="K21" s="22"/>
      <c r="L21" s="22"/>
    </row>
    <row r="22" spans="1:18">
      <c r="A22" s="418"/>
      <c r="B22" s="418"/>
      <c r="C22" s="418"/>
      <c r="D22" s="418"/>
      <c r="E22" s="418"/>
      <c r="F22" s="418"/>
      <c r="G22" s="418"/>
      <c r="H22" s="418"/>
      <c r="I22" s="418"/>
      <c r="J22" s="418"/>
      <c r="K22" s="418"/>
      <c r="L22" s="418"/>
    </row>
    <row r="23" spans="1:18">
      <c r="A23" s="22" t="s">
        <v>1551</v>
      </c>
      <c r="B23" s="22"/>
      <c r="C23" s="22"/>
      <c r="D23" s="22"/>
      <c r="E23" s="22"/>
      <c r="F23" s="22"/>
      <c r="G23" s="22"/>
      <c r="H23" s="22"/>
      <c r="I23" s="22"/>
      <c r="J23" s="22"/>
      <c r="K23" s="22"/>
      <c r="L23" s="22"/>
      <c r="M23" s="328"/>
      <c r="N23" s="328"/>
      <c r="O23" s="328"/>
      <c r="P23" s="328"/>
      <c r="Q23" s="328"/>
      <c r="R23" s="328"/>
    </row>
    <row r="24" spans="1:18">
      <c r="A24" s="2"/>
      <c r="B24" s="2"/>
      <c r="C24" s="2"/>
      <c r="D24" s="2"/>
      <c r="E24" s="2"/>
      <c r="F24" s="2"/>
      <c r="G24" s="22"/>
      <c r="H24" s="22"/>
      <c r="I24" s="22"/>
      <c r="J24" s="22"/>
      <c r="K24" s="22"/>
      <c r="L24" s="22"/>
    </row>
    <row r="25" spans="1:18">
      <c r="A25" s="37"/>
      <c r="B25" s="37"/>
      <c r="C25" s="37"/>
      <c r="D25" s="37"/>
      <c r="E25" s="37"/>
      <c r="F25" s="37"/>
      <c r="G25" s="37"/>
      <c r="H25" s="37"/>
      <c r="I25" s="37"/>
      <c r="J25" s="37"/>
      <c r="K25" s="37"/>
      <c r="L25" s="37"/>
      <c r="M25" s="37"/>
    </row>
    <row r="26" spans="1:18">
      <c r="A26" s="37" t="s">
        <v>650</v>
      </c>
      <c r="B26" s="37"/>
      <c r="C26" s="37"/>
      <c r="D26" s="37"/>
      <c r="E26" s="37"/>
      <c r="F26" s="37"/>
      <c r="G26" s="37"/>
      <c r="H26" s="37"/>
      <c r="I26" s="37"/>
      <c r="J26" s="37"/>
      <c r="K26" s="37"/>
      <c r="L26" s="37"/>
      <c r="M26" s="37"/>
      <c r="N26" s="328"/>
    </row>
    <row r="27" spans="1:18" ht="31.2">
      <c r="B27" s="390" t="s">
        <v>1544</v>
      </c>
      <c r="C27" s="1007" t="s">
        <v>1550</v>
      </c>
      <c r="D27" s="1015" t="s">
        <v>1549</v>
      </c>
      <c r="E27" s="242" t="s">
        <v>1534</v>
      </c>
      <c r="F27" s="1014" t="s">
        <v>1548</v>
      </c>
      <c r="G27" s="37"/>
      <c r="H27" s="37"/>
    </row>
    <row r="28" spans="1:18">
      <c r="B28" s="246" t="str">
        <f>B13</f>
        <v>July 1, 2019 – June 30, 2020</v>
      </c>
      <c r="C28" s="962">
        <f>C13</f>
        <v>88600</v>
      </c>
      <c r="D28" s="1013">
        <f>E13</f>
        <v>0.16</v>
      </c>
      <c r="E28" s="246">
        <f>D18</f>
        <v>0.67</v>
      </c>
      <c r="F28" s="995">
        <f>C28*D28*E28</f>
        <v>9497.92</v>
      </c>
      <c r="G28" s="37"/>
      <c r="H28" s="37"/>
    </row>
    <row r="29" spans="1:18">
      <c r="B29" s="246" t="str">
        <f>B14</f>
        <v>July 1, 2020 – June 30, 2021</v>
      </c>
      <c r="C29" s="962">
        <f>C14</f>
        <v>92200</v>
      </c>
      <c r="D29" s="1013">
        <f>E14</f>
        <v>0.38</v>
      </c>
      <c r="E29" s="246">
        <f>D18</f>
        <v>0.67</v>
      </c>
      <c r="F29" s="987">
        <f>C29*D29*E29</f>
        <v>23474.120000000003</v>
      </c>
      <c r="G29" s="37"/>
      <c r="H29" s="37"/>
    </row>
    <row r="30" spans="1:18">
      <c r="B30" s="1012" t="s">
        <v>98</v>
      </c>
      <c r="C30" s="1011">
        <f>SUM(C28:C29)</f>
        <v>180800</v>
      </c>
      <c r="D30" s="576"/>
      <c r="E30" s="576"/>
      <c r="F30" s="1011">
        <f>SUM(F28:F29)</f>
        <v>32972.04</v>
      </c>
      <c r="G30" s="37"/>
      <c r="H30" s="87"/>
    </row>
    <row r="31" spans="1:18">
      <c r="B31" s="37"/>
      <c r="C31" s="37"/>
      <c r="D31" s="37"/>
      <c r="E31" s="37"/>
      <c r="F31" s="37"/>
      <c r="G31" s="37"/>
      <c r="H31" s="37"/>
    </row>
    <row r="32" spans="1:18">
      <c r="B32" s="1010"/>
      <c r="C32" s="1007"/>
      <c r="D32" s="1006" t="s">
        <v>1547</v>
      </c>
      <c r="E32" s="1009"/>
      <c r="F32" s="1005"/>
      <c r="G32" s="1008"/>
      <c r="H32" s="1007" t="s">
        <v>1546</v>
      </c>
    </row>
    <row r="33" spans="2:8">
      <c r="B33" s="1002"/>
      <c r="C33" s="1002"/>
      <c r="D33" s="1006" t="s">
        <v>1427</v>
      </c>
      <c r="E33" s="1005"/>
      <c r="F33" s="1004"/>
      <c r="G33" s="1003"/>
      <c r="H33" s="1002" t="s">
        <v>1545</v>
      </c>
    </row>
    <row r="34" spans="2:8">
      <c r="B34" s="999" t="s">
        <v>1544</v>
      </c>
      <c r="C34" s="999" t="s">
        <v>1543</v>
      </c>
      <c r="D34" s="1000" t="s">
        <v>1542</v>
      </c>
      <c r="E34" s="1001" t="s">
        <v>1541</v>
      </c>
      <c r="F34" s="1001" t="s">
        <v>1540</v>
      </c>
      <c r="G34" s="1000" t="s">
        <v>1539</v>
      </c>
      <c r="H34" s="999" t="s">
        <v>1538</v>
      </c>
    </row>
    <row r="35" spans="2:8">
      <c r="B35" s="998" t="str">
        <f>B7</f>
        <v>July 1, 2019 – June 30, 2020</v>
      </c>
      <c r="C35" s="998">
        <f>C7</f>
        <v>1</v>
      </c>
      <c r="D35" s="996">
        <f>D7</f>
        <v>14000</v>
      </c>
      <c r="E35" s="997">
        <f>MIN(D35,$D$16)</f>
        <v>14000</v>
      </c>
      <c r="F35" s="997">
        <f>E7</f>
        <v>35000</v>
      </c>
      <c r="G35" s="996">
        <f>$D$17</f>
        <v>45000</v>
      </c>
      <c r="H35" s="995">
        <f>MIN(E35+F35,G35)</f>
        <v>45000</v>
      </c>
    </row>
    <row r="36" spans="2:8">
      <c r="B36" s="998"/>
      <c r="C36" s="998">
        <f t="shared" ref="C36:D38" si="0">C8</f>
        <v>2</v>
      </c>
      <c r="D36" s="996">
        <f t="shared" si="0"/>
        <v>32000</v>
      </c>
      <c r="E36" s="997">
        <f>MIN(D36,$D$16)</f>
        <v>20000</v>
      </c>
      <c r="F36" s="997">
        <f>E8</f>
        <v>20000</v>
      </c>
      <c r="G36" s="996">
        <f>$D$17</f>
        <v>45000</v>
      </c>
      <c r="H36" s="995">
        <f>MIN(E36+F36,G36)</f>
        <v>40000</v>
      </c>
    </row>
    <row r="37" spans="2:8">
      <c r="B37" s="994" t="str">
        <f>B9</f>
        <v>July 1, 2020 – June 30, 2021</v>
      </c>
      <c r="C37" s="994">
        <f t="shared" si="0"/>
        <v>3</v>
      </c>
      <c r="D37" s="992">
        <f t="shared" si="0"/>
        <v>22000</v>
      </c>
      <c r="E37" s="993">
        <f>MIN(D37,$D$16)</f>
        <v>20000</v>
      </c>
      <c r="F37" s="993">
        <f>E9</f>
        <v>16000</v>
      </c>
      <c r="G37" s="992">
        <f>$D$17</f>
        <v>45000</v>
      </c>
      <c r="H37" s="991">
        <f>MIN(E37+F37,G37)</f>
        <v>36000</v>
      </c>
    </row>
    <row r="38" spans="2:8">
      <c r="B38" s="988"/>
      <c r="C38" s="988">
        <f t="shared" si="0"/>
        <v>4</v>
      </c>
      <c r="D38" s="989">
        <f t="shared" si="0"/>
        <v>10000</v>
      </c>
      <c r="E38" s="990">
        <f>MIN(D38,$D$16)</f>
        <v>10000</v>
      </c>
      <c r="F38" s="990">
        <f>E10</f>
        <v>3000</v>
      </c>
      <c r="G38" s="989">
        <f>$D$17</f>
        <v>45000</v>
      </c>
      <c r="H38" s="987">
        <f>MIN(E38+F38,G38)</f>
        <v>13000</v>
      </c>
    </row>
    <row r="39" spans="2:8">
      <c r="B39" s="988" t="s">
        <v>98</v>
      </c>
      <c r="C39" s="490"/>
      <c r="D39" s="719"/>
      <c r="E39" s="719"/>
      <c r="F39" s="719"/>
      <c r="G39" s="718"/>
      <c r="H39" s="987">
        <f>SUM(H35:H38)</f>
        <v>134000</v>
      </c>
    </row>
    <row r="40" spans="2:8">
      <c r="B40" s="37"/>
      <c r="C40" s="327"/>
      <c r="D40" s="37"/>
      <c r="E40" s="37"/>
      <c r="F40" s="37"/>
      <c r="G40" s="37"/>
      <c r="H40" s="37"/>
    </row>
    <row r="41" spans="2:8">
      <c r="B41" s="37" t="s">
        <v>1109</v>
      </c>
      <c r="C41" s="327"/>
      <c r="D41" s="37"/>
      <c r="E41" s="429">
        <f>F30</f>
        <v>32972.04</v>
      </c>
      <c r="F41" s="37"/>
      <c r="G41" s="37"/>
    </row>
    <row r="42" spans="2:8">
      <c r="B42" s="37"/>
      <c r="C42" s="327"/>
      <c r="D42" s="37"/>
      <c r="E42" s="37"/>
      <c r="F42" s="37"/>
      <c r="G42" s="37"/>
    </row>
    <row r="43" spans="2:8">
      <c r="B43" s="37" t="s">
        <v>1537</v>
      </c>
      <c r="C43" s="37"/>
      <c r="D43" s="37"/>
      <c r="E43" s="429">
        <f>H39+E41</f>
        <v>166972.04</v>
      </c>
      <c r="F43" s="37"/>
      <c r="G43" s="37"/>
    </row>
    <row r="44" spans="2:8">
      <c r="B44" s="37"/>
      <c r="C44" s="37"/>
      <c r="D44" s="37"/>
      <c r="E44" s="37"/>
      <c r="F44" s="37"/>
      <c r="G44" s="37"/>
    </row>
    <row r="45" spans="2:8">
      <c r="B45" s="37" t="s">
        <v>1536</v>
      </c>
      <c r="C45" s="37"/>
      <c r="D45" s="37"/>
      <c r="E45" s="429">
        <f>C30</f>
        <v>180800</v>
      </c>
      <c r="F45" s="37"/>
      <c r="G45" s="37"/>
    </row>
    <row r="46" spans="2:8">
      <c r="B46" s="37"/>
      <c r="C46" s="37"/>
      <c r="D46" s="37"/>
      <c r="E46" s="37"/>
      <c r="F46" s="37"/>
      <c r="G46" s="37"/>
    </row>
    <row r="47" spans="2:8">
      <c r="B47" s="37" t="s">
        <v>1535</v>
      </c>
      <c r="C47" s="37"/>
      <c r="D47" s="37"/>
      <c r="E47" s="177">
        <f>E43/E45</f>
        <v>0.92351792035398239</v>
      </c>
      <c r="F47" s="37"/>
      <c r="G47" s="37"/>
    </row>
    <row r="48" spans="2:8">
      <c r="B48" s="37"/>
      <c r="C48" s="37"/>
      <c r="D48" s="37"/>
      <c r="E48" s="37"/>
      <c r="F48" s="37"/>
      <c r="G48" s="37"/>
    </row>
    <row r="49" spans="2:7">
      <c r="B49" s="37" t="s">
        <v>1534</v>
      </c>
      <c r="C49" s="37"/>
      <c r="D49" s="37"/>
      <c r="E49" s="37">
        <f>D18</f>
        <v>0.67</v>
      </c>
      <c r="F49" s="37"/>
      <c r="G49" s="37"/>
    </row>
    <row r="50" spans="2:7">
      <c r="B50" s="37"/>
      <c r="C50" s="37"/>
      <c r="D50" s="37"/>
      <c r="E50" s="37"/>
      <c r="F50" s="37"/>
      <c r="G50" s="37"/>
    </row>
    <row r="51" spans="2:7">
      <c r="B51" s="37" t="s">
        <v>1533</v>
      </c>
      <c r="C51" s="37"/>
      <c r="D51" s="37"/>
      <c r="E51" s="592">
        <f>SQRT(C30/F20)</f>
        <v>0.30066592756745814</v>
      </c>
      <c r="F51" s="37"/>
      <c r="G51" s="37"/>
    </row>
    <row r="52" spans="2:7">
      <c r="B52" s="37"/>
      <c r="C52" s="37"/>
      <c r="D52" s="37"/>
      <c r="E52" s="37"/>
      <c r="F52" s="37"/>
      <c r="G52" s="37"/>
    </row>
    <row r="53" spans="2:7">
      <c r="B53" s="37" t="s">
        <v>1532</v>
      </c>
      <c r="C53" s="37"/>
      <c r="D53" s="37"/>
      <c r="E53" s="986">
        <f>(E47-E49)/E49*E51</f>
        <v>0.11376746369881055</v>
      </c>
      <c r="F53" s="37"/>
      <c r="G53" s="37"/>
    </row>
  </sheetData>
  <mergeCells count="9">
    <mergeCell ref="C14:D14"/>
    <mergeCell ref="E14:F14"/>
    <mergeCell ref="D5:E5"/>
    <mergeCell ref="B7:B8"/>
    <mergeCell ref="B9:B10"/>
    <mergeCell ref="C12:D12"/>
    <mergeCell ref="E12:F12"/>
    <mergeCell ref="C13:D13"/>
    <mergeCell ref="E13:F13"/>
  </mergeCells>
  <pageMargins left="0.7" right="0.7" top="0.75" bottom="0.75" header="0.3" footer="0.3"/>
  <pageSetup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545F-46CB-4A07-AF08-0EA43C948E2E}">
  <dimension ref="A1:O50"/>
  <sheetViews>
    <sheetView zoomScale="110" zoomScaleNormal="110" workbookViewId="0"/>
  </sheetViews>
  <sheetFormatPr defaultRowHeight="14.4"/>
  <cols>
    <col min="1" max="1" width="8.6640625" customWidth="1"/>
    <col min="2" max="2" width="39.6640625" customWidth="1"/>
  </cols>
  <sheetData>
    <row r="1" spans="1:11" ht="15.6">
      <c r="A1" s="1866" t="s">
        <v>1598</v>
      </c>
      <c r="B1" s="1866"/>
      <c r="C1" s="1024" t="s">
        <v>1597</v>
      </c>
      <c r="D1" s="1044"/>
      <c r="E1" s="1044"/>
      <c r="F1" s="1044"/>
      <c r="G1" s="1044"/>
      <c r="H1" s="1044"/>
      <c r="I1" s="44"/>
      <c r="J1" s="44"/>
      <c r="K1" s="44"/>
    </row>
    <row r="2" spans="1:11" ht="46.5" customHeight="1">
      <c r="A2" s="1859" t="s">
        <v>1596</v>
      </c>
      <c r="B2" s="1859"/>
      <c r="C2" s="1859"/>
      <c r="D2" s="1859"/>
      <c r="E2" s="1859"/>
      <c r="F2" s="1859"/>
      <c r="G2" s="1859"/>
      <c r="H2" s="1859"/>
      <c r="I2" s="44"/>
      <c r="J2" s="44"/>
      <c r="K2" s="44"/>
    </row>
    <row r="3" spans="1:11">
      <c r="A3" s="325"/>
      <c r="B3" s="325"/>
      <c r="C3" s="325"/>
      <c r="D3" s="325"/>
      <c r="E3" s="325"/>
      <c r="F3" s="325"/>
      <c r="G3" s="325"/>
      <c r="H3" s="44"/>
      <c r="I3" s="44"/>
      <c r="J3" s="44"/>
      <c r="K3" s="44"/>
    </row>
    <row r="4" spans="1:11" ht="15.75" customHeight="1">
      <c r="A4" s="325"/>
      <c r="B4" s="1867"/>
      <c r="C4" s="1865" t="s">
        <v>1595</v>
      </c>
      <c r="D4" s="1865"/>
      <c r="E4" s="1865"/>
      <c r="F4" s="1865"/>
      <c r="G4" s="1865"/>
      <c r="H4" s="44"/>
      <c r="I4" s="44"/>
      <c r="J4" s="44"/>
      <c r="K4" s="44"/>
    </row>
    <row r="5" spans="1:11" ht="15.75" customHeight="1">
      <c r="A5" s="325"/>
      <c r="B5" s="1867"/>
      <c r="C5" s="1042">
        <v>1</v>
      </c>
      <c r="D5" s="1042">
        <v>2</v>
      </c>
      <c r="E5" s="1042">
        <v>3</v>
      </c>
      <c r="F5" s="1042">
        <v>4</v>
      </c>
      <c r="G5" s="1042">
        <v>5</v>
      </c>
      <c r="H5" s="44"/>
      <c r="I5" s="44"/>
      <c r="J5" s="44"/>
      <c r="K5" s="44"/>
    </row>
    <row r="6" spans="1:11" ht="15.75" customHeight="1">
      <c r="A6" s="325"/>
      <c r="B6" s="1041" t="s">
        <v>1594</v>
      </c>
      <c r="C6" s="1039">
        <v>18</v>
      </c>
      <c r="D6" s="1039">
        <v>30</v>
      </c>
      <c r="E6" s="1039">
        <v>42</v>
      </c>
      <c r="F6" s="1039">
        <v>54</v>
      </c>
      <c r="G6" s="1039">
        <v>66</v>
      </c>
      <c r="H6" s="44"/>
      <c r="I6" s="44"/>
      <c r="J6" s="44"/>
      <c r="K6" s="44"/>
    </row>
    <row r="7" spans="1:11" ht="27.6">
      <c r="A7" s="325"/>
      <c r="B7" s="1041" t="s">
        <v>1593</v>
      </c>
      <c r="C7" s="1039">
        <v>1.7549999999999999</v>
      </c>
      <c r="D7" s="1039">
        <v>0.625</v>
      </c>
      <c r="E7" s="1039">
        <v>0.47499999999999998</v>
      </c>
      <c r="F7" s="1039">
        <v>0.32500000000000001</v>
      </c>
      <c r="G7" s="1040">
        <v>0</v>
      </c>
      <c r="H7" s="44"/>
      <c r="I7" s="44"/>
      <c r="J7" s="44"/>
      <c r="K7" s="44"/>
    </row>
    <row r="8" spans="1:11" ht="27.6">
      <c r="A8" s="325"/>
      <c r="B8" s="1041" t="s">
        <v>1592</v>
      </c>
      <c r="C8" s="1043">
        <v>0.76</v>
      </c>
      <c r="D8" s="1043">
        <v>0.12</v>
      </c>
      <c r="E8" s="1043">
        <v>0.06</v>
      </c>
      <c r="F8" s="1043">
        <v>0.04</v>
      </c>
      <c r="G8" s="1043">
        <v>0.02</v>
      </c>
      <c r="H8" s="44"/>
      <c r="I8" s="44"/>
      <c r="J8" s="44"/>
      <c r="K8" s="44"/>
    </row>
    <row r="9" spans="1:11" ht="13.5" customHeight="1">
      <c r="A9" s="325"/>
      <c r="B9" s="325"/>
      <c r="C9" s="325"/>
      <c r="D9" s="325"/>
      <c r="E9" s="325"/>
      <c r="F9" s="325"/>
      <c r="G9" s="325"/>
      <c r="H9" s="44"/>
      <c r="I9" s="44"/>
      <c r="J9" s="44"/>
      <c r="K9" s="44"/>
    </row>
    <row r="10" spans="1:11">
      <c r="A10" s="325"/>
      <c r="B10" s="1867"/>
      <c r="C10" s="1865" t="s">
        <v>1544</v>
      </c>
      <c r="D10" s="1865"/>
      <c r="E10" s="1865"/>
      <c r="F10" s="1865"/>
      <c r="G10" s="1865"/>
      <c r="H10" s="44"/>
      <c r="I10" s="44"/>
      <c r="J10" s="44"/>
      <c r="K10" s="44"/>
    </row>
    <row r="11" spans="1:11">
      <c r="A11" s="325"/>
      <c r="B11" s="1867"/>
      <c r="C11" s="1042">
        <v>2014</v>
      </c>
      <c r="D11" s="1042">
        <v>2015</v>
      </c>
      <c r="E11" s="1042">
        <v>2016</v>
      </c>
      <c r="F11" s="1042">
        <v>2017</v>
      </c>
      <c r="G11" s="1042">
        <v>2018</v>
      </c>
      <c r="H11" s="44"/>
      <c r="I11" s="44"/>
      <c r="J11" s="44"/>
      <c r="K11" s="44"/>
    </row>
    <row r="12" spans="1:11" ht="27.6">
      <c r="A12" s="325"/>
      <c r="B12" s="1041" t="s">
        <v>1591</v>
      </c>
      <c r="C12" s="1039">
        <v>4</v>
      </c>
      <c r="D12" s="1039">
        <v>3</v>
      </c>
      <c r="E12" s="1039">
        <v>2</v>
      </c>
      <c r="F12" s="1039">
        <v>1</v>
      </c>
      <c r="G12" s="1039">
        <v>0</v>
      </c>
      <c r="H12" s="44"/>
      <c r="I12" s="44"/>
      <c r="J12" s="44"/>
      <c r="K12" s="44"/>
    </row>
    <row r="13" spans="1:11">
      <c r="A13" s="325"/>
      <c r="B13" s="1041" t="s">
        <v>1590</v>
      </c>
      <c r="C13" s="1039">
        <v>180</v>
      </c>
      <c r="D13" s="1039">
        <v>169</v>
      </c>
      <c r="E13" s="1039">
        <v>108</v>
      </c>
      <c r="F13" s="1039">
        <v>102</v>
      </c>
      <c r="G13" s="1039">
        <v>78</v>
      </c>
      <c r="H13" s="44"/>
      <c r="I13" s="44"/>
      <c r="J13" s="44"/>
      <c r="K13" s="44"/>
    </row>
    <row r="14" spans="1:11" ht="27.6">
      <c r="A14" s="325"/>
      <c r="B14" s="1041" t="s">
        <v>1589</v>
      </c>
      <c r="C14" s="1039">
        <v>179</v>
      </c>
      <c r="D14" s="1039">
        <v>166</v>
      </c>
      <c r="E14" s="1039">
        <v>104</v>
      </c>
      <c r="F14" s="1039">
        <v>90</v>
      </c>
      <c r="G14" s="1039">
        <v>0</v>
      </c>
      <c r="H14" s="44"/>
      <c r="I14" s="44"/>
      <c r="J14" s="44"/>
      <c r="K14" s="44"/>
    </row>
    <row r="15" spans="1:11" ht="27.6">
      <c r="A15" s="325"/>
      <c r="B15" s="1041" t="s">
        <v>1588</v>
      </c>
      <c r="C15" s="1039">
        <v>230</v>
      </c>
      <c r="D15" s="1039">
        <v>228</v>
      </c>
      <c r="E15" s="1039">
        <v>170</v>
      </c>
      <c r="F15" s="1039">
        <v>162</v>
      </c>
      <c r="G15" s="1039">
        <v>0</v>
      </c>
      <c r="H15" s="44"/>
      <c r="I15" s="44"/>
      <c r="J15" s="44"/>
      <c r="K15" s="44"/>
    </row>
    <row r="16" spans="1:11">
      <c r="A16" s="325"/>
      <c r="B16" s="1041" t="s">
        <v>1587</v>
      </c>
      <c r="C16" s="1039">
        <v>230</v>
      </c>
      <c r="D16" s="1039">
        <v>226</v>
      </c>
      <c r="E16" s="1039">
        <v>170</v>
      </c>
      <c r="F16" s="1039">
        <v>165</v>
      </c>
      <c r="G16" s="1039">
        <v>155</v>
      </c>
      <c r="H16" s="44"/>
      <c r="I16" s="44"/>
      <c r="J16" s="44"/>
      <c r="K16" s="44"/>
    </row>
    <row r="17" spans="1:14" ht="13.5" customHeight="1">
      <c r="A17" s="325"/>
      <c r="B17" s="325"/>
      <c r="C17" s="325"/>
      <c r="D17" s="325"/>
      <c r="E17" s="325"/>
      <c r="F17" s="325"/>
      <c r="G17" s="325"/>
      <c r="H17" s="44"/>
      <c r="I17" s="44"/>
      <c r="J17" s="44"/>
      <c r="K17" s="44"/>
    </row>
    <row r="18" spans="1:14">
      <c r="A18" s="325"/>
      <c r="B18" s="1864"/>
      <c r="C18" s="1865" t="s">
        <v>1586</v>
      </c>
      <c r="D18" s="1865"/>
      <c r="E18" s="1865"/>
      <c r="F18" s="1865"/>
      <c r="G18" s="1865"/>
      <c r="H18" s="44"/>
      <c r="I18" s="44"/>
      <c r="J18" s="44"/>
      <c r="K18" s="44"/>
    </row>
    <row r="19" spans="1:14">
      <c r="A19" s="325"/>
      <c r="B19" s="1864"/>
      <c r="C19" s="1042">
        <v>12</v>
      </c>
      <c r="D19" s="1042">
        <v>24</v>
      </c>
      <c r="E19" s="1042">
        <v>36</v>
      </c>
      <c r="F19" s="1042">
        <v>48</v>
      </c>
      <c r="G19" s="1042">
        <v>60</v>
      </c>
      <c r="H19" s="44"/>
      <c r="I19" s="44"/>
      <c r="J19" s="44"/>
      <c r="K19" s="44"/>
    </row>
    <row r="20" spans="1:14" ht="41.4">
      <c r="A20" s="325"/>
      <c r="B20" s="1041" t="s">
        <v>1585</v>
      </c>
      <c r="C20" s="1039">
        <v>3.0750000000000002</v>
      </c>
      <c r="D20" s="1039">
        <v>1.325</v>
      </c>
      <c r="E20" s="1039">
        <v>1.133</v>
      </c>
      <c r="F20" s="1040">
        <v>1.03</v>
      </c>
      <c r="G20" s="1039">
        <v>1.008</v>
      </c>
      <c r="H20" s="44"/>
      <c r="I20" s="44"/>
      <c r="J20" s="44"/>
      <c r="K20" s="44"/>
    </row>
    <row r="21" spans="1:14" ht="7.5" customHeight="1">
      <c r="A21" s="325"/>
      <c r="B21" s="325"/>
      <c r="C21" s="325"/>
      <c r="D21" s="325"/>
      <c r="E21" s="325"/>
      <c r="F21" s="325"/>
      <c r="G21" s="325"/>
      <c r="H21" s="44"/>
      <c r="I21" s="44"/>
      <c r="J21" s="44"/>
      <c r="K21" s="44"/>
    </row>
    <row r="22" spans="1:14" ht="15.6">
      <c r="A22" s="325"/>
      <c r="B22" s="1038" t="s">
        <v>1584</v>
      </c>
      <c r="C22" s="325"/>
      <c r="D22" s="325"/>
      <c r="E22" s="325"/>
      <c r="F22" s="325"/>
      <c r="G22" s="325"/>
      <c r="H22" s="44"/>
      <c r="I22" s="44"/>
      <c r="J22" s="44"/>
      <c r="K22" s="44"/>
    </row>
    <row r="23" spans="1:14" ht="15.6">
      <c r="A23" s="325"/>
      <c r="B23" s="1038" t="s">
        <v>1583</v>
      </c>
      <c r="C23" s="325"/>
      <c r="D23" s="325"/>
      <c r="E23" s="325"/>
      <c r="F23" s="325"/>
      <c r="G23" s="325"/>
      <c r="H23" s="44"/>
      <c r="I23" s="44"/>
      <c r="J23" s="44"/>
      <c r="K23" s="44"/>
    </row>
    <row r="24" spans="1:14" ht="15.6">
      <c r="A24" s="325"/>
      <c r="B24" s="1038" t="s">
        <v>1582</v>
      </c>
      <c r="C24" s="325"/>
      <c r="D24" s="325"/>
      <c r="E24" s="325"/>
      <c r="F24" s="325"/>
      <c r="G24" s="325"/>
      <c r="H24" s="44"/>
      <c r="I24" s="44"/>
      <c r="J24" s="44"/>
      <c r="K24" s="44"/>
    </row>
    <row r="25" spans="1:14">
      <c r="A25" s="325"/>
      <c r="B25" s="325"/>
      <c r="C25" s="325"/>
      <c r="D25" s="325"/>
      <c r="E25" s="325"/>
      <c r="F25" s="325"/>
      <c r="G25" s="325"/>
      <c r="H25" s="44"/>
      <c r="I25" s="44"/>
      <c r="J25" s="44"/>
      <c r="K25" s="44"/>
    </row>
    <row r="26" spans="1:14" ht="15.6">
      <c r="A26" s="408" t="s">
        <v>1581</v>
      </c>
      <c r="B26" s="1037"/>
      <c r="C26" s="44"/>
      <c r="D26" s="325"/>
      <c r="E26" s="325"/>
      <c r="F26" s="325"/>
      <c r="G26" s="325"/>
      <c r="H26" s="325"/>
      <c r="I26" s="325"/>
      <c r="J26" s="325"/>
      <c r="K26" s="325"/>
      <c r="L26" s="1025"/>
      <c r="M26" s="1025"/>
      <c r="N26" s="1025"/>
    </row>
    <row r="27" spans="1:14" ht="15.6">
      <c r="A27" s="1029"/>
      <c r="B27" s="317" t="s">
        <v>50</v>
      </c>
      <c r="D27" s="1025"/>
      <c r="E27" s="1025"/>
      <c r="F27" s="1025"/>
      <c r="G27" s="1025"/>
      <c r="H27" s="1025"/>
      <c r="I27" s="1025"/>
      <c r="J27" s="1025"/>
      <c r="K27" s="1025"/>
      <c r="L27" s="1025"/>
      <c r="M27" s="1025"/>
      <c r="N27" s="1025"/>
    </row>
    <row r="28" spans="1:14" ht="15.6">
      <c r="A28" s="1029"/>
      <c r="B28" s="1028"/>
      <c r="D28" s="1025"/>
      <c r="E28" s="1025"/>
      <c r="F28" s="1025"/>
      <c r="G28" s="1025"/>
      <c r="H28" s="1025"/>
      <c r="I28" s="1025"/>
      <c r="J28" s="1025"/>
      <c r="K28" s="1025"/>
      <c r="L28" s="1025"/>
      <c r="M28" s="1025"/>
      <c r="N28" s="1025"/>
    </row>
    <row r="29" spans="1:14" ht="15.6">
      <c r="A29" s="1029"/>
      <c r="B29" s="1028"/>
      <c r="D29" s="1025"/>
      <c r="E29" s="1025"/>
      <c r="F29" s="1025"/>
      <c r="G29" s="1025"/>
      <c r="H29" s="1025"/>
      <c r="I29" s="1025"/>
      <c r="J29" s="1025"/>
      <c r="K29" s="1025"/>
      <c r="L29" s="1025"/>
      <c r="M29" s="1025"/>
      <c r="N29" s="1025"/>
    </row>
    <row r="30" spans="1:14">
      <c r="A30" s="1034" t="s">
        <v>1580</v>
      </c>
      <c r="B30" t="s">
        <v>76</v>
      </c>
      <c r="C30">
        <f>C11</f>
        <v>2014</v>
      </c>
      <c r="D30">
        <f>D11</f>
        <v>2015</v>
      </c>
      <c r="E30">
        <f>E11</f>
        <v>2016</v>
      </c>
      <c r="F30">
        <f>F11</f>
        <v>2017</v>
      </c>
      <c r="G30">
        <f>G11</f>
        <v>2018</v>
      </c>
      <c r="I30" s="1025"/>
      <c r="J30" s="1025"/>
      <c r="K30" s="1025"/>
      <c r="L30" s="1025"/>
      <c r="M30" s="1025"/>
      <c r="N30" s="1025"/>
    </row>
    <row r="31" spans="1:14">
      <c r="B31" t="s">
        <v>1579</v>
      </c>
      <c r="C31">
        <v>72</v>
      </c>
      <c r="D31">
        <v>60</v>
      </c>
      <c r="E31">
        <v>48</v>
      </c>
      <c r="F31">
        <v>36</v>
      </c>
      <c r="G31">
        <v>24</v>
      </c>
      <c r="I31" s="1025"/>
      <c r="J31" s="1025"/>
      <c r="K31" s="1025"/>
      <c r="L31" s="1025"/>
      <c r="M31" s="1025"/>
      <c r="N31" s="1025"/>
    </row>
    <row r="32" spans="1:14">
      <c r="A32" s="1034"/>
      <c r="B32" t="s">
        <v>1578</v>
      </c>
      <c r="C32">
        <v>1</v>
      </c>
      <c r="D32">
        <f>G20</f>
        <v>1.008</v>
      </c>
      <c r="E32">
        <f>F20</f>
        <v>1.03</v>
      </c>
      <c r="F32">
        <f>E20</f>
        <v>1.133</v>
      </c>
      <c r="G32">
        <f>D20</f>
        <v>1.325</v>
      </c>
      <c r="I32" s="1025"/>
      <c r="J32" s="1025"/>
      <c r="K32" s="1025"/>
      <c r="L32" s="1025"/>
      <c r="M32" s="1025"/>
      <c r="N32" s="1025"/>
    </row>
    <row r="33" spans="1:15">
      <c r="A33" s="1034"/>
      <c r="B33" t="s">
        <v>1577</v>
      </c>
      <c r="C33" s="1036">
        <v>1</v>
      </c>
      <c r="D33" s="1036">
        <v>1</v>
      </c>
      <c r="E33" s="1036">
        <v>1</v>
      </c>
      <c r="F33" s="1036">
        <v>1</v>
      </c>
      <c r="G33" s="1036">
        <v>1</v>
      </c>
      <c r="I33" s="1025"/>
      <c r="J33" s="1025"/>
      <c r="K33" s="1025"/>
      <c r="L33" s="1025"/>
      <c r="M33" s="1025"/>
      <c r="N33" s="1025"/>
    </row>
    <row r="34" spans="1:15">
      <c r="A34" s="1034"/>
      <c r="B34" t="s">
        <v>1576</v>
      </c>
      <c r="C34" s="1035">
        <f>C13*C32*C33</f>
        <v>180</v>
      </c>
      <c r="D34" s="1035">
        <f>D13*D32*D33</f>
        <v>170.352</v>
      </c>
      <c r="E34" s="1035">
        <f>E13*E32*E33</f>
        <v>111.24000000000001</v>
      </c>
      <c r="F34" s="1035">
        <f>F13*F32*F33</f>
        <v>115.566</v>
      </c>
      <c r="G34" s="1035">
        <f>G13*G32*G33</f>
        <v>103.35</v>
      </c>
      <c r="I34" s="1025"/>
      <c r="J34" s="1025"/>
      <c r="K34" s="1025"/>
      <c r="L34" s="1025"/>
      <c r="M34" s="1025"/>
      <c r="N34" s="1025"/>
    </row>
    <row r="35" spans="1:15">
      <c r="A35" s="1034"/>
      <c r="B35" t="s">
        <v>1575</v>
      </c>
      <c r="C35" s="1031">
        <f>C34-C14</f>
        <v>1</v>
      </c>
      <c r="D35" s="1031">
        <f>D34-D14</f>
        <v>4.3520000000000039</v>
      </c>
      <c r="E35" s="1031">
        <f>E34-E14</f>
        <v>7.2400000000000091</v>
      </c>
      <c r="F35" s="1031">
        <f>F34-F14</f>
        <v>25.566000000000003</v>
      </c>
      <c r="G35" s="1031">
        <f>G34-G14</f>
        <v>103.35</v>
      </c>
      <c r="I35" s="1025"/>
      <c r="J35" s="1025"/>
      <c r="K35" s="1025"/>
      <c r="L35" s="1025"/>
      <c r="M35" s="1025"/>
      <c r="N35" s="1025"/>
    </row>
    <row r="36" spans="1:15">
      <c r="A36" s="1034"/>
      <c r="I36" s="1025"/>
      <c r="J36" s="1025"/>
      <c r="K36" s="1025"/>
      <c r="L36" s="1025"/>
      <c r="M36" s="1025"/>
      <c r="N36" s="1025"/>
    </row>
    <row r="37" spans="1:15">
      <c r="A37" s="1034" t="s">
        <v>1574</v>
      </c>
      <c r="B37" t="s">
        <v>1573</v>
      </c>
      <c r="C37">
        <v>5</v>
      </c>
      <c r="D37">
        <v>4</v>
      </c>
      <c r="E37">
        <v>3</v>
      </c>
      <c r="F37">
        <v>2</v>
      </c>
      <c r="G37">
        <v>1</v>
      </c>
      <c r="I37" s="1025"/>
      <c r="J37" s="1025"/>
      <c r="K37" s="1025"/>
      <c r="L37" s="1025"/>
      <c r="M37" s="1025"/>
      <c r="N37" s="1025"/>
    </row>
    <row r="38" spans="1:15">
      <c r="A38" s="1034"/>
      <c r="B38" t="s">
        <v>1572</v>
      </c>
      <c r="C38">
        <f>($G7*$G8)/$G8</f>
        <v>0</v>
      </c>
      <c r="D38">
        <f>SUMPRODUCT(F7:$G7*F8:$G8)/SUM(F8:$G8)</f>
        <v>0.2166666666666667</v>
      </c>
      <c r="E38">
        <f>SUMPRODUCT(E7:$G7*E8:$G8)/SUM(E8:$G8)</f>
        <v>0.34583333333333327</v>
      </c>
      <c r="F38">
        <f>SUMPRODUCT(D7:$G7*D8:$G8)/SUM(D8:$G8)</f>
        <v>0.48541666666666666</v>
      </c>
      <c r="G38">
        <f>SUMPRODUCT(C7:$G7*C8:$G8)/SUM(C8:$G8)</f>
        <v>1.4502999999999997</v>
      </c>
      <c r="I38" s="1025"/>
      <c r="J38" s="1025"/>
      <c r="K38" s="1025"/>
      <c r="L38" s="1025"/>
      <c r="M38" s="1025"/>
      <c r="N38" s="1025"/>
    </row>
    <row r="39" spans="1:15">
      <c r="A39" s="1034"/>
      <c r="I39" s="1025"/>
      <c r="J39" s="1025"/>
      <c r="K39" s="1025"/>
      <c r="L39" s="1025"/>
      <c r="M39" s="1025"/>
      <c r="N39" s="1025"/>
    </row>
    <row r="40" spans="1:15">
      <c r="A40" s="1034" t="s">
        <v>1571</v>
      </c>
      <c r="B40" t="s">
        <v>76</v>
      </c>
      <c r="C40">
        <f>C30</f>
        <v>2014</v>
      </c>
      <c r="D40">
        <f>D30</f>
        <v>2015</v>
      </c>
      <c r="E40">
        <f>E30</f>
        <v>2016</v>
      </c>
      <c r="F40">
        <f>F30</f>
        <v>2017</v>
      </c>
      <c r="G40">
        <f>G30</f>
        <v>2018</v>
      </c>
      <c r="I40" s="1025"/>
      <c r="J40" s="1025"/>
      <c r="K40" s="1025"/>
      <c r="L40" s="1025"/>
      <c r="M40" s="1025"/>
      <c r="N40" s="1025"/>
    </row>
    <row r="41" spans="1:15">
      <c r="B41" t="s">
        <v>1570</v>
      </c>
      <c r="C41" s="1031">
        <f>C15+C38*C35</f>
        <v>230</v>
      </c>
      <c r="D41" s="1031">
        <f>D15+D38*D35</f>
        <v>228.94293333333334</v>
      </c>
      <c r="E41" s="1031">
        <f>E15+E38*E35</f>
        <v>172.50383333333335</v>
      </c>
      <c r="F41" s="1031">
        <f>F15+F38*F35</f>
        <v>174.41016250000001</v>
      </c>
      <c r="G41" s="1031">
        <f>G15+G38*G35</f>
        <v>149.88850499999995</v>
      </c>
      <c r="I41" s="1025"/>
      <c r="J41" s="1025"/>
      <c r="K41" s="1025"/>
      <c r="L41" s="1025"/>
      <c r="M41" s="1025"/>
      <c r="N41" s="1025"/>
    </row>
    <row r="42" spans="1:15">
      <c r="I42" s="1025"/>
      <c r="J42" s="1025"/>
      <c r="K42" s="1025"/>
      <c r="L42" s="1025"/>
      <c r="M42" s="1025"/>
      <c r="N42" s="1025"/>
    </row>
    <row r="43" spans="1:15">
      <c r="A43" s="1034" t="s">
        <v>1569</v>
      </c>
      <c r="B43" t="s">
        <v>76</v>
      </c>
      <c r="C43">
        <f>C40</f>
        <v>2014</v>
      </c>
      <c r="D43">
        <f>D40</f>
        <v>2015</v>
      </c>
      <c r="E43">
        <f>E40</f>
        <v>2016</v>
      </c>
      <c r="F43">
        <f>F40</f>
        <v>2017</v>
      </c>
      <c r="G43">
        <f>G40</f>
        <v>2018</v>
      </c>
      <c r="H43" s="1033" t="s">
        <v>98</v>
      </c>
      <c r="I43" s="1025"/>
      <c r="J43" s="1025"/>
      <c r="K43" s="1025"/>
      <c r="L43" s="1025"/>
      <c r="M43" s="1025"/>
      <c r="N43" s="1025"/>
    </row>
    <row r="44" spans="1:15">
      <c r="B44" s="1032" t="s">
        <v>1568</v>
      </c>
      <c r="C44" s="1031">
        <f>C41-C16</f>
        <v>0</v>
      </c>
      <c r="D44" s="1031">
        <f>D41-D16</f>
        <v>2.9429333333333432</v>
      </c>
      <c r="E44" s="1031">
        <f>E41-E16</f>
        <v>2.5038333333333469</v>
      </c>
      <c r="F44" s="1031">
        <f>F41-F16</f>
        <v>9.4101625000000126</v>
      </c>
      <c r="G44" s="1031">
        <f>G41-G16</f>
        <v>-5.1114950000000476</v>
      </c>
      <c r="H44" s="1030">
        <f>SUM(C44:G44)</f>
        <v>9.7454341666666551</v>
      </c>
      <c r="I44" s="1025"/>
      <c r="J44" s="1025"/>
      <c r="K44" s="1025"/>
      <c r="L44" s="1025"/>
      <c r="M44" s="1025"/>
      <c r="N44" s="1025"/>
    </row>
    <row r="45" spans="1:15" ht="15.6">
      <c r="A45" s="1029"/>
      <c r="B45" s="1028"/>
      <c r="D45" s="1025"/>
      <c r="E45" s="1025"/>
      <c r="F45" s="1025"/>
      <c r="G45" s="1025"/>
      <c r="H45" s="1025"/>
      <c r="I45" s="1025"/>
      <c r="J45" s="1025"/>
      <c r="K45" s="1025"/>
      <c r="L45" s="1025"/>
      <c r="M45" s="1025"/>
      <c r="N45" s="1025"/>
    </row>
    <row r="46" spans="1:15" ht="15.6">
      <c r="A46" s="1029"/>
      <c r="B46" s="1028"/>
      <c r="D46" s="1025"/>
      <c r="E46" s="1025"/>
      <c r="F46" s="1025"/>
      <c r="G46" s="1025"/>
      <c r="H46" s="1025"/>
      <c r="I46" s="1025"/>
      <c r="J46" s="1025"/>
      <c r="K46" s="1025"/>
      <c r="L46" s="1025"/>
      <c r="M46" s="1025"/>
      <c r="N46" s="1025"/>
    </row>
    <row r="47" spans="1:15" ht="15.6">
      <c r="A47" s="897" t="s">
        <v>1567</v>
      </c>
      <c r="B47" s="1027"/>
      <c r="C47" s="291"/>
      <c r="D47" s="1026"/>
      <c r="E47" s="1026"/>
      <c r="F47" s="1026"/>
      <c r="G47" s="1026"/>
      <c r="H47" s="1026"/>
      <c r="I47" s="1026"/>
      <c r="J47" s="1026"/>
      <c r="K47" s="1026"/>
      <c r="L47" s="1025"/>
      <c r="M47" s="1025"/>
      <c r="N47" s="1025"/>
      <c r="O47" s="1025"/>
    </row>
    <row r="48" spans="1:15">
      <c r="B48" s="1024" t="s">
        <v>1566</v>
      </c>
    </row>
    <row r="50" spans="2:3">
      <c r="B50" s="1023" t="s">
        <v>1565</v>
      </c>
      <c r="C50" s="1022">
        <f>0.9*H44</f>
        <v>8.7708907499999906</v>
      </c>
    </row>
  </sheetData>
  <mergeCells count="8">
    <mergeCell ref="B18:B19"/>
    <mergeCell ref="C18:G18"/>
    <mergeCell ref="A1:B1"/>
    <mergeCell ref="A2:H2"/>
    <mergeCell ref="B4:B5"/>
    <mergeCell ref="C4:G4"/>
    <mergeCell ref="B10:B11"/>
    <mergeCell ref="C10:G10"/>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4F36-0FBA-4280-A037-C457E29BD770}">
  <dimension ref="A1:V85"/>
  <sheetViews>
    <sheetView zoomScaleNormal="100" workbookViewId="0"/>
  </sheetViews>
  <sheetFormatPr defaultColWidth="9.109375" defaultRowHeight="15.6"/>
  <cols>
    <col min="1" max="1" width="9.109375" style="1"/>
    <col min="2" max="2" width="10.5546875" style="1" bestFit="1" customWidth="1"/>
    <col min="3" max="3" width="9.109375" style="1"/>
    <col min="4" max="9" width="10.6640625" style="1" customWidth="1"/>
    <col min="10" max="12" width="9.109375" style="1"/>
    <col min="13" max="13" width="8.88671875" bestFit="1" customWidth="1"/>
    <col min="23" max="16384" width="9.109375" style="1"/>
  </cols>
  <sheetData>
    <row r="1" spans="1:12" ht="15.75" customHeight="1">
      <c r="A1" s="23" t="s">
        <v>1201</v>
      </c>
      <c r="B1" s="22"/>
      <c r="C1" s="5" t="s">
        <v>38</v>
      </c>
      <c r="D1" s="22"/>
      <c r="E1" s="22"/>
      <c r="F1" s="22"/>
      <c r="G1" s="22"/>
      <c r="H1" s="22"/>
      <c r="I1" s="22"/>
      <c r="J1" s="22"/>
      <c r="K1" s="22"/>
      <c r="L1" s="2"/>
    </row>
    <row r="2" spans="1:12" ht="15.75" customHeight="1">
      <c r="A2" s="21"/>
      <c r="B2" s="21"/>
      <c r="C2" s="160" t="s">
        <v>193</v>
      </c>
      <c r="D2" s="165"/>
      <c r="E2" s="165"/>
      <c r="F2" s="165"/>
      <c r="G2" s="165"/>
      <c r="H2" s="165"/>
      <c r="I2" s="165"/>
      <c r="J2" s="2"/>
      <c r="K2" s="2"/>
      <c r="L2" s="2"/>
    </row>
    <row r="3" spans="1:12" ht="15.75" customHeight="1">
      <c r="A3" s="135"/>
      <c r="B3" s="135"/>
      <c r="C3" s="1049" t="s">
        <v>1632</v>
      </c>
      <c r="D3" s="1050"/>
      <c r="E3" s="1050"/>
      <c r="F3" s="1050"/>
      <c r="G3" s="135"/>
      <c r="H3" s="135"/>
      <c r="I3" s="135"/>
      <c r="J3" s="135"/>
      <c r="K3" s="135"/>
      <c r="L3" s="135"/>
    </row>
    <row r="4" spans="1:12" ht="15.75" customHeight="1">
      <c r="A4" s="119" t="s">
        <v>1631</v>
      </c>
      <c r="B4" s="234"/>
      <c r="C4" s="234"/>
      <c r="D4" s="234"/>
      <c r="E4" s="234"/>
      <c r="F4" s="234"/>
      <c r="G4" s="234"/>
      <c r="H4" s="234"/>
      <c r="I4" s="234"/>
      <c r="J4" s="234"/>
      <c r="K4" s="234"/>
      <c r="L4" s="234"/>
    </row>
    <row r="5" spans="1:12" ht="15.75" customHeight="1">
      <c r="A5" s="119" t="s">
        <v>1630</v>
      </c>
      <c r="B5" s="234"/>
      <c r="C5" s="234"/>
      <c r="D5" s="234"/>
      <c r="E5" s="234"/>
      <c r="F5" s="234"/>
      <c r="G5" s="234"/>
      <c r="H5" s="234"/>
      <c r="I5" s="234"/>
      <c r="J5" s="234"/>
      <c r="K5" s="234"/>
      <c r="L5" s="234"/>
    </row>
    <row r="6" spans="1:12">
      <c r="A6" s="234"/>
      <c r="B6" s="234"/>
      <c r="C6" s="234"/>
      <c r="D6" s="234"/>
      <c r="E6" s="234"/>
      <c r="F6" s="234"/>
      <c r="G6" s="234"/>
      <c r="H6" s="234"/>
      <c r="I6" s="234"/>
      <c r="J6" s="234"/>
      <c r="K6" s="234"/>
      <c r="L6" s="234"/>
    </row>
    <row r="7" spans="1:12" ht="31.5" customHeight="1">
      <c r="A7" s="235" t="s">
        <v>80</v>
      </c>
      <c r="B7" s="1682" t="s">
        <v>1629</v>
      </c>
      <c r="C7" s="1682"/>
      <c r="D7" s="1682"/>
      <c r="E7" s="1682"/>
      <c r="F7" s="1682"/>
      <c r="G7" s="1682"/>
      <c r="H7" s="1682"/>
      <c r="I7" s="1682"/>
      <c r="J7" s="1682"/>
      <c r="K7" s="1682"/>
      <c r="L7" s="1682"/>
    </row>
    <row r="8" spans="1:12">
      <c r="A8" s="235"/>
      <c r="B8" s="119" t="s">
        <v>1628</v>
      </c>
      <c r="C8" s="234"/>
      <c r="D8" s="234"/>
      <c r="E8" s="234"/>
      <c r="F8" s="234"/>
      <c r="G8" s="234"/>
      <c r="H8" s="234"/>
      <c r="I8" s="234"/>
      <c r="J8" s="234"/>
      <c r="K8" s="234"/>
      <c r="L8" s="234"/>
    </row>
    <row r="9" spans="1:12">
      <c r="A9" s="235"/>
      <c r="B9" s="119" t="s">
        <v>1627</v>
      </c>
      <c r="C9" s="234"/>
      <c r="D9" s="234"/>
      <c r="E9" s="234"/>
      <c r="F9" s="234"/>
      <c r="G9" s="234"/>
      <c r="H9" s="234"/>
      <c r="I9" s="234"/>
      <c r="J9" s="234"/>
      <c r="K9" s="234"/>
      <c r="L9" s="234"/>
    </row>
    <row r="10" spans="1:12">
      <c r="A10" s="21"/>
      <c r="B10" s="1049" t="s">
        <v>1566</v>
      </c>
      <c r="C10" s="159"/>
      <c r="D10" s="159"/>
      <c r="E10" s="159"/>
      <c r="F10" s="159"/>
      <c r="G10" s="159"/>
      <c r="H10" s="3"/>
      <c r="I10" s="3"/>
      <c r="J10" s="135"/>
      <c r="K10" s="135"/>
      <c r="L10" s="135"/>
    </row>
    <row r="11" spans="1:12">
      <c r="A11" s="135"/>
      <c r="B11" s="135"/>
      <c r="C11" s="135"/>
      <c r="D11" s="135"/>
      <c r="E11" s="135"/>
      <c r="F11" s="135"/>
      <c r="G11" s="135"/>
      <c r="H11" s="135"/>
      <c r="I11" s="135"/>
      <c r="J11" s="135"/>
      <c r="K11" s="135"/>
      <c r="L11" s="135"/>
    </row>
    <row r="12" spans="1:12" ht="45.75" customHeight="1">
      <c r="A12" s="1670" t="s">
        <v>1626</v>
      </c>
      <c r="B12" s="1670"/>
      <c r="C12" s="1670"/>
      <c r="D12" s="1670"/>
      <c r="E12" s="1670"/>
      <c r="F12" s="1670"/>
      <c r="G12" s="1670"/>
      <c r="H12" s="1670"/>
      <c r="I12" s="1670"/>
      <c r="J12" s="1670"/>
      <c r="K12" s="1670"/>
      <c r="L12" s="1670"/>
    </row>
    <row r="13" spans="1:12">
      <c r="A13" s="135"/>
      <c r="B13" s="135"/>
      <c r="C13" s="135"/>
      <c r="D13" s="135"/>
      <c r="E13" s="135"/>
      <c r="F13" s="135"/>
      <c r="G13" s="135"/>
      <c r="H13" s="135"/>
      <c r="I13" s="135"/>
      <c r="J13" s="135"/>
      <c r="K13" s="135"/>
      <c r="L13" s="135"/>
    </row>
    <row r="14" spans="1:12" ht="32.25" customHeight="1">
      <c r="A14" s="214" t="s">
        <v>9</v>
      </c>
      <c r="B14" s="1670" t="s">
        <v>1625</v>
      </c>
      <c r="C14" s="1670"/>
      <c r="D14" s="1670"/>
      <c r="E14" s="1670"/>
      <c r="F14" s="1670"/>
      <c r="G14" s="1670"/>
      <c r="H14" s="1670"/>
      <c r="I14" s="1670"/>
      <c r="J14" s="1670"/>
      <c r="K14" s="1670"/>
      <c r="L14" s="1670"/>
    </row>
    <row r="15" spans="1:12" ht="15.75" customHeight="1">
      <c r="A15" s="21"/>
      <c r="B15" s="160" t="s">
        <v>185</v>
      </c>
      <c r="C15" s="159"/>
      <c r="D15" s="159"/>
      <c r="E15" s="159"/>
      <c r="F15" s="159"/>
      <c r="G15" s="159"/>
      <c r="H15" s="3"/>
      <c r="I15" s="3"/>
      <c r="J15" s="135"/>
      <c r="K15" s="135"/>
      <c r="L15" s="135"/>
    </row>
    <row r="16" spans="1:12" ht="15.75" customHeight="1">
      <c r="A16" s="135"/>
      <c r="B16" s="135"/>
      <c r="C16" s="135"/>
      <c r="D16" s="135"/>
      <c r="E16" s="135"/>
      <c r="F16" s="135"/>
      <c r="G16" s="135"/>
      <c r="H16" s="135"/>
      <c r="I16" s="135"/>
      <c r="J16" s="135"/>
      <c r="K16" s="135"/>
      <c r="L16" s="135"/>
    </row>
    <row r="17" spans="1:12" ht="15.75" customHeight="1">
      <c r="A17" s="3" t="s">
        <v>1624</v>
      </c>
      <c r="B17" s="135"/>
      <c r="C17" s="135"/>
      <c r="D17" s="135"/>
      <c r="E17" s="135"/>
      <c r="F17" s="135"/>
      <c r="G17" s="135"/>
      <c r="H17" s="135"/>
      <c r="I17" s="135"/>
      <c r="J17" s="135"/>
      <c r="K17" s="135"/>
      <c r="L17" s="135"/>
    </row>
    <row r="18" spans="1:12" ht="8.1" customHeight="1">
      <c r="A18" s="135"/>
      <c r="B18" s="135"/>
      <c r="C18" s="135"/>
      <c r="D18" s="135"/>
      <c r="E18" s="135"/>
      <c r="F18" s="135"/>
      <c r="G18" s="135"/>
      <c r="H18" s="135"/>
      <c r="I18" s="135"/>
      <c r="J18" s="135"/>
      <c r="K18" s="135"/>
      <c r="L18" s="135"/>
    </row>
    <row r="19" spans="1:12">
      <c r="A19" s="135"/>
      <c r="B19" s="1871" t="s">
        <v>1623</v>
      </c>
      <c r="C19" s="1871"/>
      <c r="D19" s="1871"/>
      <c r="E19" s="1871"/>
      <c r="F19" s="133">
        <v>0.22500000000000001</v>
      </c>
      <c r="G19" s="135"/>
      <c r="H19" s="135"/>
      <c r="I19" s="135"/>
      <c r="J19" s="135"/>
      <c r="K19" s="135"/>
      <c r="L19" s="135"/>
    </row>
    <row r="20" spans="1:12">
      <c r="A20" s="135"/>
      <c r="B20" s="1871" t="s">
        <v>1622</v>
      </c>
      <c r="C20" s="1871"/>
      <c r="D20" s="1871"/>
      <c r="E20" s="1871"/>
      <c r="F20" s="133">
        <v>0.7</v>
      </c>
      <c r="G20" s="135"/>
      <c r="H20" s="135"/>
      <c r="I20" s="135"/>
      <c r="J20" s="135"/>
      <c r="K20" s="135"/>
      <c r="L20" s="135"/>
    </row>
    <row r="21" spans="1:12">
      <c r="A21" s="135"/>
      <c r="B21" s="1871" t="s">
        <v>1621</v>
      </c>
      <c r="C21" s="1871"/>
      <c r="D21" s="1871"/>
      <c r="E21" s="1871"/>
      <c r="F21" s="133">
        <v>1.2</v>
      </c>
      <c r="G21" s="135"/>
      <c r="H21" s="135"/>
      <c r="I21" s="135"/>
      <c r="J21" s="135"/>
      <c r="K21" s="135"/>
      <c r="L21" s="135"/>
    </row>
    <row r="22" spans="1:12">
      <c r="A22" s="135"/>
      <c r="B22" s="1871" t="s">
        <v>1620</v>
      </c>
      <c r="C22" s="1871"/>
      <c r="D22" s="1871"/>
      <c r="E22" s="1871"/>
      <c r="F22" s="133">
        <v>1.0349999999999999</v>
      </c>
      <c r="G22" s="135"/>
      <c r="H22" s="135"/>
      <c r="I22" s="135"/>
      <c r="J22" s="135"/>
      <c r="K22" s="135"/>
      <c r="L22" s="135"/>
    </row>
    <row r="23" spans="1:12" ht="31.5" customHeight="1">
      <c r="A23" s="135"/>
      <c r="B23" s="1871" t="s">
        <v>1619</v>
      </c>
      <c r="C23" s="1871"/>
      <c r="D23" s="1871"/>
      <c r="E23" s="1871"/>
      <c r="F23" s="133">
        <v>0.875</v>
      </c>
      <c r="G23" s="135"/>
      <c r="H23" s="135"/>
      <c r="I23" s="135"/>
      <c r="J23" s="135"/>
      <c r="K23" s="135"/>
      <c r="L23" s="135"/>
    </row>
    <row r="24" spans="1:12" ht="31.5" customHeight="1">
      <c r="A24" s="135"/>
      <c r="B24" s="1871" t="s">
        <v>1618</v>
      </c>
      <c r="C24" s="1871"/>
      <c r="D24" s="1871"/>
      <c r="E24" s="1871"/>
      <c r="F24" s="133">
        <v>0.59</v>
      </c>
      <c r="G24" s="135"/>
      <c r="H24" s="135"/>
      <c r="I24" s="135"/>
      <c r="J24" s="135"/>
      <c r="K24" s="135"/>
      <c r="L24" s="135"/>
    </row>
    <row r="25" spans="1:12" ht="33.6" customHeight="1">
      <c r="A25" s="135"/>
      <c r="B25" s="1871" t="s">
        <v>1617</v>
      </c>
      <c r="C25" s="1871"/>
      <c r="D25" s="1871"/>
      <c r="E25" s="1871"/>
      <c r="F25" s="697">
        <v>0.85</v>
      </c>
      <c r="G25" s="135"/>
      <c r="H25" s="135"/>
      <c r="I25" s="135"/>
      <c r="J25" s="135"/>
      <c r="K25" s="135"/>
      <c r="L25" s="135"/>
    </row>
    <row r="26" spans="1:12" ht="15.75" customHeight="1">
      <c r="A26" s="135"/>
      <c r="B26" s="135"/>
      <c r="C26" s="135"/>
      <c r="D26" s="135"/>
      <c r="E26" s="135"/>
      <c r="F26" s="135"/>
      <c r="G26" s="135"/>
      <c r="H26" s="135"/>
      <c r="I26" s="135"/>
      <c r="J26" s="135"/>
      <c r="K26" s="135"/>
      <c r="L26" s="135"/>
    </row>
    <row r="27" spans="1:12" ht="31.5" customHeight="1">
      <c r="A27" s="214" t="s">
        <v>7</v>
      </c>
      <c r="B27" s="1670" t="s">
        <v>1616</v>
      </c>
      <c r="C27" s="1670"/>
      <c r="D27" s="1670"/>
      <c r="E27" s="1670"/>
      <c r="F27" s="1670"/>
      <c r="G27" s="1670"/>
      <c r="H27" s="1670"/>
      <c r="I27" s="1670"/>
      <c r="J27" s="1670"/>
      <c r="K27" s="1670"/>
      <c r="L27" s="1670"/>
    </row>
    <row r="28" spans="1:12" ht="15.75" customHeight="1">
      <c r="A28" s="135"/>
      <c r="B28" s="5" t="s">
        <v>64</v>
      </c>
      <c r="C28" s="135"/>
      <c r="D28" s="135"/>
      <c r="E28" s="135"/>
      <c r="F28" s="135"/>
      <c r="G28" s="135"/>
      <c r="H28" s="135"/>
      <c r="I28" s="135"/>
      <c r="J28" s="135"/>
      <c r="K28" s="135"/>
      <c r="L28" s="135"/>
    </row>
    <row r="29" spans="1:12" ht="15.75" customHeight="1">
      <c r="A29"/>
      <c r="B29"/>
      <c r="C29"/>
      <c r="D29"/>
      <c r="E29"/>
      <c r="F29"/>
      <c r="G29"/>
      <c r="H29"/>
      <c r="I29"/>
      <c r="J29"/>
      <c r="K29"/>
      <c r="L29"/>
    </row>
    <row r="30" spans="1:12" ht="15.75" customHeight="1">
      <c r="A30"/>
      <c r="B30" s="1048" t="s">
        <v>1615</v>
      </c>
      <c r="C30" s="1047">
        <f>(F19*F22/(F20*F25))+(F23*F21*F22)</f>
        <v>1.4781365546218486</v>
      </c>
      <c r="D30"/>
      <c r="E30"/>
      <c r="F30"/>
      <c r="G30"/>
      <c r="H30"/>
      <c r="I30"/>
      <c r="J30"/>
      <c r="K30"/>
      <c r="L30"/>
    </row>
    <row r="31" spans="1:12" ht="15.75" customHeight="1">
      <c r="A31"/>
      <c r="B31" s="1048" t="s">
        <v>1614</v>
      </c>
      <c r="C31" s="1047">
        <f>F24*F21*F22</f>
        <v>0.73277999999999988</v>
      </c>
      <c r="D31"/>
      <c r="E31"/>
      <c r="F31"/>
      <c r="G31"/>
      <c r="H31"/>
      <c r="I31"/>
      <c r="J31"/>
      <c r="K31"/>
      <c r="L31"/>
    </row>
    <row r="32" spans="1:12" ht="15.75" customHeight="1">
      <c r="A32"/>
      <c r="B32"/>
      <c r="C32"/>
      <c r="D32"/>
      <c r="E32"/>
      <c r="F32"/>
      <c r="G32"/>
      <c r="H32"/>
      <c r="I32"/>
      <c r="J32"/>
      <c r="K32"/>
      <c r="L32"/>
    </row>
    <row r="33" spans="1:12" ht="15.75" customHeight="1">
      <c r="A33" s="3" t="s">
        <v>1613</v>
      </c>
      <c r="B33" s="135"/>
      <c r="C33" s="135"/>
      <c r="D33" s="135"/>
      <c r="E33" s="135"/>
      <c r="F33" s="135"/>
      <c r="G33" s="135"/>
      <c r="H33" s="135"/>
      <c r="I33" s="135"/>
      <c r="J33" s="135"/>
      <c r="K33" s="135"/>
      <c r="L33" s="135"/>
    </row>
    <row r="34" spans="1:12" ht="15.75" customHeight="1">
      <c r="A34" s="135"/>
      <c r="B34" s="1671" t="s">
        <v>1595</v>
      </c>
      <c r="C34" s="1671"/>
      <c r="D34" s="1671"/>
      <c r="E34" s="1872" t="s">
        <v>1612</v>
      </c>
      <c r="F34" s="1872"/>
      <c r="G34" s="135"/>
      <c r="H34" s="135"/>
      <c r="I34" s="135"/>
      <c r="J34" s="135"/>
      <c r="K34" s="135"/>
      <c r="L34" s="135"/>
    </row>
    <row r="35" spans="1:12" ht="15.75" customHeight="1">
      <c r="A35" s="135"/>
      <c r="B35" s="1868" t="s">
        <v>1611</v>
      </c>
      <c r="C35" s="1868"/>
      <c r="D35" s="1868"/>
      <c r="E35" s="1869">
        <v>0.85</v>
      </c>
      <c r="F35" s="1869"/>
      <c r="G35" s="135"/>
      <c r="H35" s="135"/>
      <c r="I35" s="135"/>
      <c r="J35" s="135"/>
      <c r="K35" s="135"/>
      <c r="L35" s="135"/>
    </row>
    <row r="36" spans="1:12" ht="15.75" customHeight="1">
      <c r="A36" s="135"/>
      <c r="B36" s="1868" t="s">
        <v>1610</v>
      </c>
      <c r="C36" s="1868"/>
      <c r="D36" s="1868"/>
      <c r="E36" s="1869">
        <v>0.13</v>
      </c>
      <c r="F36" s="1869"/>
      <c r="G36" s="135"/>
      <c r="H36" s="135"/>
      <c r="I36" s="135"/>
      <c r="J36" s="135"/>
      <c r="K36" s="135"/>
      <c r="L36" s="135"/>
    </row>
    <row r="37" spans="1:12" ht="15.75" customHeight="1">
      <c r="A37" s="135"/>
      <c r="B37" s="1868" t="s">
        <v>1609</v>
      </c>
      <c r="C37" s="1868"/>
      <c r="D37" s="1868"/>
      <c r="E37" s="1869">
        <v>0.02</v>
      </c>
      <c r="F37" s="1869"/>
      <c r="G37" s="135"/>
      <c r="H37" s="135"/>
      <c r="I37" s="135"/>
      <c r="J37" s="135"/>
      <c r="K37" s="135"/>
      <c r="L37" s="135"/>
    </row>
    <row r="38" spans="1:12" ht="15.75" customHeight="1">
      <c r="A38" s="135"/>
      <c r="B38" s="135"/>
      <c r="C38" s="135"/>
      <c r="D38" s="135"/>
      <c r="E38" s="135"/>
      <c r="F38" s="135"/>
      <c r="G38" s="135"/>
      <c r="H38" s="135"/>
      <c r="I38" s="135"/>
      <c r="J38" s="135"/>
      <c r="K38" s="135"/>
      <c r="L38" s="135"/>
    </row>
    <row r="39" spans="1:12" ht="15.75" customHeight="1">
      <c r="A39" s="3" t="s">
        <v>1608</v>
      </c>
      <c r="B39" s="135"/>
      <c r="C39" s="135"/>
      <c r="D39" s="135"/>
      <c r="E39" s="135"/>
      <c r="F39" s="135"/>
      <c r="G39" s="135"/>
      <c r="H39" s="135"/>
      <c r="I39" s="135"/>
      <c r="J39" s="135"/>
      <c r="K39" s="135"/>
      <c r="L39" s="135"/>
    </row>
    <row r="40" spans="1:12" ht="15.75" customHeight="1">
      <c r="A40" s="135"/>
      <c r="B40" s="135"/>
      <c r="C40" s="135"/>
      <c r="D40" s="135"/>
      <c r="E40" s="135"/>
      <c r="F40" s="135"/>
      <c r="G40" s="135"/>
      <c r="H40" s="135"/>
      <c r="I40" s="135"/>
      <c r="J40" s="135"/>
      <c r="K40" s="135"/>
      <c r="L40" s="135"/>
    </row>
    <row r="41" spans="1:12" ht="15.75" customHeight="1">
      <c r="A41" s="214" t="s">
        <v>4</v>
      </c>
      <c r="B41" s="1670" t="s">
        <v>1607</v>
      </c>
      <c r="C41" s="1670"/>
      <c r="D41" s="1670"/>
      <c r="E41" s="1670"/>
      <c r="F41" s="1670"/>
      <c r="G41" s="1670"/>
      <c r="H41" s="1670"/>
      <c r="I41" s="1670"/>
      <c r="J41" s="1670"/>
      <c r="K41" s="1670"/>
      <c r="L41" s="1670"/>
    </row>
    <row r="42" spans="1:12" ht="15.75" customHeight="1">
      <c r="A42" s="135"/>
      <c r="B42" s="5" t="s">
        <v>64</v>
      </c>
      <c r="C42" s="135"/>
      <c r="D42" s="135"/>
      <c r="E42" s="135"/>
      <c r="F42" s="135"/>
      <c r="G42" s="135"/>
      <c r="H42" s="135"/>
      <c r="I42" s="135"/>
      <c r="J42" s="135"/>
      <c r="K42" s="135"/>
      <c r="L42" s="135"/>
    </row>
    <row r="43" spans="1:12" ht="15.75" customHeight="1">
      <c r="A43"/>
      <c r="B43"/>
      <c r="C43"/>
      <c r="D43"/>
      <c r="E43"/>
      <c r="F43"/>
      <c r="G43"/>
      <c r="H43"/>
      <c r="I43"/>
      <c r="J43"/>
      <c r="K43"/>
      <c r="L43"/>
    </row>
    <row r="44" spans="1:12" ht="15.75" customHeight="1">
      <c r="A44"/>
      <c r="B44" s="1048" t="s">
        <v>1606</v>
      </c>
      <c r="C44" s="1047">
        <f>(C30*E35+C31*E36+0*E37)/(SUM(E35:F37))</f>
        <v>1.3516774714285713</v>
      </c>
      <c r="D44"/>
      <c r="E44"/>
      <c r="F44"/>
      <c r="G44"/>
      <c r="H44"/>
      <c r="I44"/>
      <c r="J44"/>
      <c r="K44"/>
      <c r="L44"/>
    </row>
    <row r="45" spans="1:12" ht="15.75" customHeight="1">
      <c r="A45"/>
      <c r="B45" s="1048" t="s">
        <v>1605</v>
      </c>
      <c r="C45" s="1047">
        <f>(C31*E36+0*E37)/(SUM(E36:F37))</f>
        <v>0.63507599999999986</v>
      </c>
      <c r="D45"/>
      <c r="E45"/>
      <c r="F45"/>
      <c r="G45"/>
      <c r="H45"/>
      <c r="I45"/>
      <c r="J45"/>
      <c r="K45"/>
      <c r="L45"/>
    </row>
    <row r="46" spans="1:12" ht="15.75" customHeight="1">
      <c r="A46"/>
      <c r="B46"/>
      <c r="C46"/>
      <c r="D46"/>
      <c r="E46"/>
      <c r="F46"/>
      <c r="G46"/>
      <c r="H46"/>
      <c r="I46"/>
      <c r="J46"/>
      <c r="K46"/>
      <c r="L46"/>
    </row>
    <row r="47" spans="1:12" ht="15.75" customHeight="1">
      <c r="A47" s="3" t="s">
        <v>1604</v>
      </c>
      <c r="B47" s="135"/>
      <c r="C47" s="135"/>
      <c r="D47" s="135"/>
      <c r="E47" s="135"/>
      <c r="F47" s="135"/>
      <c r="G47" s="135"/>
      <c r="H47" s="135"/>
      <c r="I47" s="135"/>
      <c r="J47" s="135"/>
      <c r="K47" s="135"/>
      <c r="L47" s="135"/>
    </row>
    <row r="48" spans="1:12" ht="46.65" customHeight="1">
      <c r="A48" s="135"/>
      <c r="B48" s="1671" t="s">
        <v>1603</v>
      </c>
      <c r="C48" s="1671"/>
      <c r="D48" s="1671" t="s">
        <v>1602</v>
      </c>
      <c r="E48" s="1671"/>
      <c r="F48" s="1671" t="s">
        <v>1601</v>
      </c>
      <c r="G48" s="1671"/>
      <c r="H48" s="1671" t="s">
        <v>1600</v>
      </c>
      <c r="I48" s="1671"/>
      <c r="J48" s="135"/>
      <c r="K48" s="135"/>
      <c r="L48" s="135"/>
    </row>
    <row r="49" spans="1:12" ht="15.75" customHeight="1">
      <c r="A49" s="135"/>
      <c r="B49" s="1870">
        <v>479250</v>
      </c>
      <c r="C49" s="1870"/>
      <c r="D49" s="1868">
        <v>0</v>
      </c>
      <c r="E49" s="1868"/>
      <c r="F49" s="1870">
        <v>573750</v>
      </c>
      <c r="G49" s="1870"/>
      <c r="H49" s="1868">
        <v>0</v>
      </c>
      <c r="I49" s="1868"/>
      <c r="J49" s="135"/>
      <c r="K49" s="135"/>
      <c r="L49" s="135"/>
    </row>
    <row r="50" spans="1:12" ht="15.75" customHeight="1">
      <c r="A50" s="135"/>
      <c r="B50" s="250"/>
      <c r="C50" s="250"/>
      <c r="D50" s="250"/>
      <c r="E50" s="1046"/>
      <c r="F50" s="1046"/>
      <c r="G50" s="135"/>
      <c r="H50" s="135"/>
      <c r="I50" s="135"/>
      <c r="J50" s="135"/>
      <c r="K50" s="135"/>
      <c r="L50" s="135"/>
    </row>
    <row r="51" spans="1:12" ht="31.5" customHeight="1">
      <c r="A51" s="214" t="s">
        <v>48</v>
      </c>
      <c r="B51" s="1670" t="s">
        <v>1599</v>
      </c>
      <c r="C51" s="1670"/>
      <c r="D51" s="1670"/>
      <c r="E51" s="1670"/>
      <c r="F51" s="1670"/>
      <c r="G51" s="1670"/>
      <c r="H51" s="1670"/>
      <c r="I51" s="1670"/>
      <c r="J51" s="1670"/>
      <c r="K51" s="1670"/>
      <c r="L51" s="1670"/>
    </row>
    <row r="52" spans="1:12" ht="16.2">
      <c r="A52" s="135"/>
      <c r="B52" s="5" t="s">
        <v>64</v>
      </c>
      <c r="C52" s="135"/>
      <c r="D52" s="135"/>
      <c r="E52" s="135"/>
      <c r="F52" s="135"/>
      <c r="G52" s="135"/>
      <c r="H52" s="135"/>
      <c r="I52" s="135"/>
      <c r="J52" s="135"/>
      <c r="K52" s="135"/>
      <c r="L52" s="135"/>
    </row>
    <row r="53" spans="1:12">
      <c r="A53"/>
      <c r="B53"/>
      <c r="C53"/>
      <c r="D53"/>
      <c r="E53"/>
      <c r="F53"/>
      <c r="G53"/>
      <c r="H53"/>
      <c r="I53"/>
      <c r="J53"/>
      <c r="K53"/>
      <c r="L53"/>
    </row>
    <row r="54" spans="1:12">
      <c r="A54"/>
      <c r="B54" s="1045">
        <f>D49+B49*C44-F49</f>
        <v>74041.428182142787</v>
      </c>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sheetData>
  <mergeCells count="29">
    <mergeCell ref="B7:L7"/>
    <mergeCell ref="A12:L12"/>
    <mergeCell ref="B14:L14"/>
    <mergeCell ref="B19:E19"/>
    <mergeCell ref="B20:E20"/>
    <mergeCell ref="B21:E21"/>
    <mergeCell ref="B22:E22"/>
    <mergeCell ref="B23:E23"/>
    <mergeCell ref="B35:D35"/>
    <mergeCell ref="E35:F35"/>
    <mergeCell ref="B24:E24"/>
    <mergeCell ref="B25:E25"/>
    <mergeCell ref="B27:L27"/>
    <mergeCell ref="B34:D34"/>
    <mergeCell ref="E34:F34"/>
    <mergeCell ref="B36:D36"/>
    <mergeCell ref="E36:F36"/>
    <mergeCell ref="B37:D37"/>
    <mergeCell ref="E37:F37"/>
    <mergeCell ref="B51:L51"/>
    <mergeCell ref="B41:L41"/>
    <mergeCell ref="B48:C48"/>
    <mergeCell ref="D48:E48"/>
    <mergeCell ref="F48:G48"/>
    <mergeCell ref="H48:I48"/>
    <mergeCell ref="B49:C49"/>
    <mergeCell ref="D49:E49"/>
    <mergeCell ref="F49:G49"/>
    <mergeCell ref="H49:I49"/>
  </mergeCells>
  <pageMargins left="0.7" right="0.7" top="0.75" bottom="0.75" header="0.3" footer="0.3"/>
  <pageSetup orientation="portrait" horizontalDpi="0"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94E9C-0022-4E03-8D28-8BC24C78199E}">
  <dimension ref="A1:X73"/>
  <sheetViews>
    <sheetView zoomScaleNormal="100" workbookViewId="0"/>
  </sheetViews>
  <sheetFormatPr defaultColWidth="9.109375" defaultRowHeight="15.6"/>
  <cols>
    <col min="1" max="1" width="10.33203125" style="1" customWidth="1"/>
    <col min="2" max="4" width="16.6640625" style="1" customWidth="1"/>
    <col min="5" max="5" width="18.33203125" style="1" customWidth="1"/>
    <col min="6" max="6" width="16.6640625" style="1" customWidth="1"/>
    <col min="7" max="12" width="9.109375" style="1"/>
    <col min="13" max="13" width="8.88671875" bestFit="1" customWidth="1"/>
    <col min="25" max="16384" width="9.109375" style="1"/>
  </cols>
  <sheetData>
    <row r="1" spans="1:13" ht="15.75" customHeight="1">
      <c r="A1" s="23" t="s">
        <v>707</v>
      </c>
      <c r="B1" s="22"/>
      <c r="C1" s="5" t="s">
        <v>38</v>
      </c>
      <c r="D1" s="22"/>
      <c r="E1" s="22"/>
      <c r="F1" s="22"/>
      <c r="G1" s="22"/>
      <c r="H1" s="22"/>
      <c r="I1" s="22"/>
      <c r="J1" s="22"/>
      <c r="K1" s="22"/>
      <c r="L1" s="2"/>
      <c r="M1" s="2"/>
    </row>
    <row r="2" spans="1:13" ht="15.75" customHeight="1">
      <c r="A2" s="23"/>
      <c r="B2" s="21"/>
      <c r="C2" s="160" t="s">
        <v>290</v>
      </c>
      <c r="D2" s="137"/>
      <c r="E2" s="137"/>
      <c r="F2" s="137"/>
      <c r="G2" s="137"/>
      <c r="H2" s="137"/>
      <c r="I2" s="1062"/>
      <c r="J2" s="159"/>
      <c r="K2" s="159"/>
      <c r="L2" s="138"/>
      <c r="M2" s="138"/>
    </row>
    <row r="3" spans="1:13" ht="15.75" customHeight="1">
      <c r="A3" s="21"/>
      <c r="B3" s="21"/>
      <c r="C3" s="21"/>
      <c r="D3" s="21"/>
      <c r="E3" s="21"/>
      <c r="F3" s="21"/>
      <c r="G3" s="21"/>
      <c r="H3" s="21"/>
      <c r="I3" s="21"/>
      <c r="J3" s="21"/>
      <c r="K3" s="21"/>
      <c r="L3" s="2"/>
      <c r="M3" s="2"/>
    </row>
    <row r="4" spans="1:13">
      <c r="A4" s="1655" t="s">
        <v>1654</v>
      </c>
      <c r="B4" s="1873"/>
      <c r="C4" s="1873"/>
      <c r="D4" s="1873"/>
      <c r="E4" s="1873"/>
      <c r="F4" s="1873"/>
      <c r="G4" s="1873"/>
      <c r="H4" s="1873"/>
      <c r="I4" s="1873"/>
      <c r="J4" s="1873"/>
      <c r="K4" s="1873"/>
      <c r="L4" s="1873"/>
      <c r="M4" s="2"/>
    </row>
    <row r="5" spans="1:13">
      <c r="A5" s="45"/>
      <c r="B5" s="484" t="s">
        <v>1653</v>
      </c>
      <c r="C5" s="214"/>
      <c r="D5" s="214"/>
      <c r="E5" s="214"/>
      <c r="F5" s="214"/>
      <c r="G5" s="214"/>
      <c r="H5" s="214"/>
      <c r="I5" s="214"/>
      <c r="J5" s="214"/>
      <c r="K5" s="214"/>
      <c r="L5" s="214"/>
      <c r="M5" s="2"/>
    </row>
    <row r="6" spans="1:13">
      <c r="A6" s="45"/>
      <c r="B6" s="484" t="s">
        <v>1652</v>
      </c>
      <c r="C6" s="214"/>
      <c r="D6" s="214"/>
      <c r="E6" s="214"/>
      <c r="F6" s="214"/>
      <c r="G6" s="214"/>
      <c r="H6" s="214"/>
      <c r="I6" s="214"/>
      <c r="J6" s="214"/>
      <c r="K6" s="214"/>
      <c r="L6" s="214"/>
      <c r="M6" s="2"/>
    </row>
    <row r="7" spans="1:13">
      <c r="A7" s="21"/>
      <c r="B7" s="136"/>
      <c r="C7" s="136"/>
      <c r="D7" s="136"/>
      <c r="E7" s="136"/>
      <c r="F7" s="136"/>
      <c r="G7" s="136"/>
      <c r="H7" s="136"/>
      <c r="I7" s="136"/>
      <c r="J7" s="136"/>
      <c r="K7" s="136"/>
      <c r="L7" s="136"/>
      <c r="M7" s="2"/>
    </row>
    <row r="8" spans="1:13" ht="31.2" customHeight="1">
      <c r="A8" s="1655" t="s">
        <v>1651</v>
      </c>
      <c r="B8" s="1655"/>
      <c r="C8" s="1655"/>
      <c r="D8" s="1655"/>
      <c r="E8" s="1655"/>
      <c r="F8" s="1655"/>
      <c r="G8" s="1655"/>
      <c r="H8" s="1655"/>
      <c r="I8" s="1655"/>
      <c r="J8" s="1655"/>
      <c r="K8" s="1655"/>
      <c r="L8" s="1655"/>
      <c r="M8" s="2"/>
    </row>
    <row r="9" spans="1:13">
      <c r="A9" s="21"/>
      <c r="B9" s="21"/>
      <c r="C9" s="21"/>
      <c r="D9" s="21"/>
      <c r="E9" s="21"/>
      <c r="F9" s="21"/>
      <c r="G9" s="21"/>
      <c r="H9" s="21"/>
      <c r="I9" s="21"/>
      <c r="J9" s="21"/>
      <c r="K9" s="21"/>
      <c r="L9" s="2"/>
      <c r="M9" s="2"/>
    </row>
    <row r="10" spans="1:13">
      <c r="A10" s="214" t="s">
        <v>80</v>
      </c>
      <c r="B10" s="1655" t="s">
        <v>1650</v>
      </c>
      <c r="C10" s="1655"/>
      <c r="D10" s="1655"/>
      <c r="E10" s="1655"/>
      <c r="F10" s="1655"/>
      <c r="G10" s="1655"/>
      <c r="H10" s="1655"/>
      <c r="I10" s="1655"/>
      <c r="J10" s="1655"/>
      <c r="K10" s="1655"/>
      <c r="L10" s="1655"/>
      <c r="M10" s="2"/>
    </row>
    <row r="11" spans="1:13" ht="16.2">
      <c r="A11" s="21"/>
      <c r="B11" s="160" t="s">
        <v>185</v>
      </c>
      <c r="C11" s="159"/>
      <c r="D11" s="159"/>
      <c r="E11" s="159"/>
      <c r="F11" s="159"/>
      <c r="G11" s="159"/>
      <c r="H11" s="159"/>
      <c r="I11" s="159"/>
      <c r="J11" s="1050"/>
      <c r="K11" s="1050"/>
      <c r="L11" s="1050"/>
      <c r="M11" s="2"/>
    </row>
    <row r="12" spans="1:13" ht="15.6" customHeight="1">
      <c r="A12" s="21"/>
      <c r="B12" s="21"/>
      <c r="C12" s="21"/>
      <c r="D12" s="21"/>
      <c r="E12" s="21"/>
      <c r="F12" s="21"/>
      <c r="G12" s="21"/>
      <c r="H12" s="21"/>
      <c r="I12" s="136"/>
      <c r="J12" s="3"/>
      <c r="K12" s="3"/>
      <c r="L12" s="2"/>
      <c r="M12" s="2"/>
    </row>
    <row r="13" spans="1:13" ht="31.2" customHeight="1">
      <c r="A13" s="214" t="s">
        <v>9</v>
      </c>
      <c r="B13" s="1655" t="s">
        <v>1649</v>
      </c>
      <c r="C13" s="1655"/>
      <c r="D13" s="1655"/>
      <c r="E13" s="1655"/>
      <c r="F13" s="1655"/>
      <c r="G13" s="1655"/>
      <c r="H13" s="1655"/>
      <c r="I13" s="1655"/>
      <c r="J13" s="1655"/>
      <c r="K13" s="1655"/>
      <c r="L13" s="1655"/>
      <c r="M13" s="2"/>
    </row>
    <row r="14" spans="1:13" ht="16.2">
      <c r="A14" s="21"/>
      <c r="B14" s="160" t="s">
        <v>185</v>
      </c>
      <c r="C14" s="159"/>
      <c r="D14" s="159"/>
      <c r="E14" s="159"/>
      <c r="F14" s="159"/>
      <c r="G14" s="159"/>
      <c r="H14" s="159"/>
      <c r="I14" s="159"/>
      <c r="J14" s="1050"/>
      <c r="K14" s="1050"/>
      <c r="L14" s="1050"/>
      <c r="M14" s="2"/>
    </row>
    <row r="15" spans="1:13">
      <c r="A15" s="21"/>
      <c r="B15" s="21"/>
      <c r="C15" s="21"/>
      <c r="D15" s="21"/>
      <c r="E15" s="21"/>
      <c r="F15" s="21"/>
      <c r="G15" s="21"/>
      <c r="H15" s="21"/>
      <c r="I15" s="136"/>
      <c r="J15" s="3"/>
      <c r="K15" s="3"/>
      <c r="L15" s="2"/>
      <c r="M15" s="2"/>
    </row>
    <row r="16" spans="1:13">
      <c r="A16" s="214" t="s">
        <v>7</v>
      </c>
      <c r="B16" s="1655" t="s">
        <v>1648</v>
      </c>
      <c r="C16" s="1655"/>
      <c r="D16" s="1655"/>
      <c r="E16" s="1655"/>
      <c r="F16" s="1655"/>
      <c r="G16" s="1655"/>
      <c r="H16" s="1655"/>
      <c r="I16" s="1655"/>
      <c r="J16" s="1655"/>
      <c r="K16" s="1655"/>
      <c r="L16" s="1655"/>
      <c r="M16" s="2"/>
    </row>
    <row r="17" spans="1:13" ht="16.2">
      <c r="A17" s="21"/>
      <c r="B17" s="160" t="s">
        <v>185</v>
      </c>
      <c r="C17" s="159"/>
      <c r="D17" s="159"/>
      <c r="E17" s="159"/>
      <c r="F17" s="159"/>
      <c r="G17" s="159"/>
      <c r="H17" s="159"/>
      <c r="I17" s="159"/>
      <c r="J17" s="1050"/>
      <c r="K17" s="1050"/>
      <c r="L17" s="1050"/>
      <c r="M17" s="2"/>
    </row>
    <row r="18" spans="1:13">
      <c r="A18" s="21"/>
      <c r="B18" s="1061"/>
      <c r="C18" s="1061"/>
      <c r="D18" s="1061"/>
      <c r="E18" s="1060"/>
      <c r="F18" s="1060"/>
      <c r="G18" s="21"/>
      <c r="H18" s="21"/>
      <c r="I18" s="21"/>
      <c r="J18" s="21"/>
      <c r="K18" s="21"/>
      <c r="L18" s="2"/>
      <c r="M18" s="2"/>
    </row>
    <row r="19" spans="1:13">
      <c r="A19" s="21" t="s">
        <v>1647</v>
      </c>
      <c r="B19" s="21"/>
      <c r="C19" s="21"/>
      <c r="D19" s="21"/>
      <c r="E19" s="21"/>
      <c r="F19" s="21"/>
      <c r="G19" s="21"/>
      <c r="H19" s="21"/>
      <c r="I19" s="21"/>
      <c r="J19" s="21"/>
      <c r="K19" s="21"/>
      <c r="L19" s="2"/>
      <c r="M19" s="2"/>
    </row>
    <row r="20" spans="1:13">
      <c r="A20" s="21"/>
      <c r="B20" s="1061"/>
      <c r="C20" s="1061"/>
      <c r="D20" s="1061"/>
      <c r="E20" s="1060"/>
      <c r="F20" s="1060"/>
      <c r="G20" s="21"/>
      <c r="H20" s="21"/>
      <c r="I20" s="21"/>
      <c r="J20" s="21"/>
      <c r="K20" s="21"/>
      <c r="L20" s="2"/>
      <c r="M20" s="2"/>
    </row>
    <row r="21" spans="1:13" ht="62.4">
      <c r="A21" s="21"/>
      <c r="B21" s="83" t="s">
        <v>1595</v>
      </c>
      <c r="C21" s="83" t="s">
        <v>1646</v>
      </c>
      <c r="D21" s="83" t="s">
        <v>1592</v>
      </c>
      <c r="E21" s="83" t="s">
        <v>1645</v>
      </c>
      <c r="F21" s="699"/>
      <c r="G21" s="21"/>
      <c r="H21" s="21"/>
      <c r="I21" s="21"/>
      <c r="J21" s="21"/>
      <c r="K21" s="21"/>
      <c r="L21" s="2"/>
      <c r="M21" s="2"/>
    </row>
    <row r="22" spans="1:13">
      <c r="A22" s="21"/>
      <c r="B22" s="1059" t="s">
        <v>1611</v>
      </c>
      <c r="C22" s="1058">
        <v>18</v>
      </c>
      <c r="D22" s="1057">
        <v>0.68</v>
      </c>
      <c r="E22" s="1056">
        <v>1.71</v>
      </c>
      <c r="F22" s="699"/>
      <c r="G22" s="21"/>
      <c r="H22" s="21"/>
      <c r="I22" s="21"/>
      <c r="J22" s="21"/>
      <c r="K22" s="21"/>
      <c r="L22" s="2"/>
      <c r="M22" s="2"/>
    </row>
    <row r="23" spans="1:13">
      <c r="A23" s="21"/>
      <c r="B23" s="1059" t="s">
        <v>1610</v>
      </c>
      <c r="C23" s="1058">
        <v>30</v>
      </c>
      <c r="D23" s="1057">
        <v>0.19500000000000001</v>
      </c>
      <c r="E23" s="1056">
        <v>0.71499999999999997</v>
      </c>
      <c r="F23" s="250"/>
      <c r="G23" s="21"/>
      <c r="H23" s="21"/>
      <c r="I23" s="21"/>
      <c r="J23" s="21"/>
      <c r="K23" s="21"/>
      <c r="L23" s="2"/>
      <c r="M23" s="2"/>
    </row>
    <row r="24" spans="1:13">
      <c r="A24" s="21"/>
      <c r="B24" s="1059" t="s">
        <v>1609</v>
      </c>
      <c r="C24" s="1058">
        <v>42</v>
      </c>
      <c r="D24" s="1057">
        <v>9.5000000000000001E-2</v>
      </c>
      <c r="E24" s="1056">
        <v>0.44500000000000001</v>
      </c>
      <c r="F24" s="250"/>
      <c r="G24" s="21"/>
      <c r="H24" s="21"/>
      <c r="I24" s="21"/>
      <c r="J24" s="21"/>
      <c r="K24" s="21"/>
      <c r="L24" s="2"/>
      <c r="M24" s="2"/>
    </row>
    <row r="25" spans="1:13">
      <c r="A25" s="21"/>
      <c r="B25" s="1059" t="s">
        <v>1644</v>
      </c>
      <c r="C25" s="1058">
        <v>54</v>
      </c>
      <c r="D25" s="1057">
        <v>0.03</v>
      </c>
      <c r="E25" s="1056">
        <v>0.3</v>
      </c>
      <c r="F25" s="250"/>
      <c r="G25" s="21"/>
      <c r="H25" s="21"/>
      <c r="I25" s="21"/>
      <c r="J25" s="21"/>
      <c r="K25" s="21"/>
      <c r="L25" s="2"/>
      <c r="M25" s="2"/>
    </row>
    <row r="26" spans="1:13">
      <c r="A26" s="21"/>
      <c r="B26" s="136"/>
      <c r="C26" s="136"/>
      <c r="D26" s="136"/>
      <c r="E26" s="250"/>
      <c r="F26" s="250"/>
      <c r="G26" s="21"/>
      <c r="H26" s="21"/>
      <c r="I26" s="21"/>
      <c r="J26" s="21"/>
      <c r="K26" s="21"/>
      <c r="L26" s="2"/>
      <c r="M26" s="2"/>
    </row>
    <row r="27" spans="1:13">
      <c r="A27" s="674"/>
      <c r="B27" s="21" t="s">
        <v>1643</v>
      </c>
      <c r="C27" s="136"/>
      <c r="D27" s="136"/>
      <c r="E27" s="250"/>
      <c r="F27" s="250"/>
      <c r="G27" s="21"/>
      <c r="H27" s="21"/>
      <c r="I27" s="21"/>
      <c r="J27" s="21"/>
      <c r="K27" s="21"/>
      <c r="L27" s="2"/>
      <c r="M27" s="2"/>
    </row>
    <row r="28" spans="1:13">
      <c r="A28" s="21"/>
      <c r="B28" s="136"/>
      <c r="C28" s="136"/>
      <c r="D28" s="136"/>
      <c r="E28" s="250"/>
      <c r="F28" s="250"/>
      <c r="G28" s="21"/>
      <c r="H28" s="21"/>
      <c r="I28" s="21"/>
      <c r="J28" s="21"/>
      <c r="K28" s="21"/>
      <c r="L28" s="2"/>
      <c r="M28" s="2"/>
    </row>
    <row r="29" spans="1:13">
      <c r="A29" s="21" t="s">
        <v>1642</v>
      </c>
      <c r="B29" s="21"/>
      <c r="C29" s="21"/>
      <c r="D29" s="21"/>
      <c r="E29" s="250"/>
      <c r="F29" s="250"/>
      <c r="G29" s="21"/>
      <c r="H29" s="21"/>
      <c r="I29" s="21"/>
      <c r="J29" s="21"/>
      <c r="K29" s="21"/>
      <c r="L29" s="2"/>
      <c r="M29" s="2"/>
    </row>
    <row r="30" spans="1:13">
      <c r="A30" s="21"/>
      <c r="B30" s="21"/>
      <c r="C30" s="21"/>
      <c r="D30" s="21"/>
      <c r="E30" s="250"/>
      <c r="F30" s="250"/>
      <c r="G30" s="21"/>
      <c r="H30" s="21"/>
      <c r="I30" s="21"/>
      <c r="J30" s="21"/>
      <c r="K30" s="21"/>
      <c r="L30" s="2"/>
      <c r="M30" s="2"/>
    </row>
    <row r="31" spans="1:13" ht="93.6" customHeight="1">
      <c r="A31" s="21"/>
      <c r="B31" s="686" t="s">
        <v>1641</v>
      </c>
      <c r="C31" s="686" t="s">
        <v>1640</v>
      </c>
      <c r="D31" s="686" t="s">
        <v>1639</v>
      </c>
      <c r="E31" s="686" t="s">
        <v>1638</v>
      </c>
      <c r="F31" s="686" t="s">
        <v>1637</v>
      </c>
      <c r="G31" s="21"/>
      <c r="H31" s="21"/>
      <c r="I31" s="21"/>
      <c r="J31" s="21"/>
      <c r="K31" s="21"/>
      <c r="L31" s="2"/>
      <c r="M31" s="2"/>
    </row>
    <row r="32" spans="1:13">
      <c r="A32" s="21"/>
      <c r="B32" s="133">
        <v>2020</v>
      </c>
      <c r="C32" s="683">
        <v>385800</v>
      </c>
      <c r="D32" s="133">
        <v>1</v>
      </c>
      <c r="E32" s="683">
        <v>85500</v>
      </c>
      <c r="F32" s="683">
        <v>375200</v>
      </c>
      <c r="G32" s="21"/>
      <c r="H32" s="21"/>
      <c r="I32" s="21"/>
      <c r="J32" s="21"/>
      <c r="K32" s="21"/>
      <c r="L32" s="2"/>
      <c r="M32" s="2"/>
    </row>
    <row r="33" spans="1:24">
      <c r="A33" s="21"/>
      <c r="B33" s="133">
        <v>2021</v>
      </c>
      <c r="C33" s="683">
        <v>371500</v>
      </c>
      <c r="D33" s="133">
        <v>0</v>
      </c>
      <c r="E33" s="683">
        <v>320100</v>
      </c>
      <c r="F33" s="133">
        <v>0</v>
      </c>
      <c r="G33" s="21"/>
      <c r="H33" s="21"/>
      <c r="I33" s="21"/>
      <c r="J33" s="21"/>
      <c r="K33" s="21"/>
      <c r="L33" s="2"/>
      <c r="M33" s="2"/>
    </row>
    <row r="34" spans="1:24">
      <c r="A34" s="21"/>
      <c r="B34" s="484"/>
      <c r="C34" s="21"/>
      <c r="D34" s="21"/>
      <c r="E34" s="21"/>
      <c r="F34" s="21"/>
      <c r="G34" s="21"/>
      <c r="H34" s="21"/>
      <c r="I34" s="21"/>
      <c r="J34" s="21"/>
      <c r="K34" s="21"/>
      <c r="L34" s="2"/>
      <c r="M34" s="2"/>
    </row>
    <row r="35" spans="1:24" ht="31.2" customHeight="1">
      <c r="A35" s="214" t="s">
        <v>4</v>
      </c>
      <c r="B35" s="1670" t="s">
        <v>1636</v>
      </c>
      <c r="C35" s="1670"/>
      <c r="D35" s="1670"/>
      <c r="E35" s="1670"/>
      <c r="F35" s="1670"/>
      <c r="G35" s="1670"/>
      <c r="H35" s="1670"/>
      <c r="I35" s="1670"/>
      <c r="J35" s="1670"/>
      <c r="K35" s="1670"/>
      <c r="L35" s="1670"/>
      <c r="M35" s="2"/>
    </row>
    <row r="36" spans="1:24" ht="16.2">
      <c r="A36" s="1055"/>
      <c r="B36" s="5" t="s">
        <v>64</v>
      </c>
      <c r="C36" s="5"/>
      <c r="D36" s="4"/>
      <c r="E36" s="4"/>
      <c r="F36" s="4"/>
      <c r="G36" s="4"/>
      <c r="H36" s="3"/>
      <c r="I36" s="3"/>
      <c r="J36" s="2"/>
      <c r="K36" s="3"/>
      <c r="L36" s="2"/>
      <c r="M36" s="2"/>
    </row>
    <row r="37" spans="1:24" ht="15.75" customHeight="1">
      <c r="M37" s="1"/>
      <c r="N37" s="1"/>
      <c r="O37" s="1"/>
      <c r="P37" s="1"/>
      <c r="Q37" s="1"/>
      <c r="R37" s="1"/>
      <c r="S37" s="1"/>
      <c r="T37" s="1"/>
      <c r="U37" s="1"/>
      <c r="V37" s="1"/>
      <c r="W37" s="1"/>
      <c r="X37" s="1"/>
    </row>
    <row r="38" spans="1:24" ht="28.8">
      <c r="B38" s="269" t="s">
        <v>1544</v>
      </c>
      <c r="C38" s="269" t="s">
        <v>1635</v>
      </c>
      <c r="D38" s="272" t="s">
        <v>1634</v>
      </c>
      <c r="E38" s="272" t="s">
        <v>1570</v>
      </c>
      <c r="F38" s="269" t="s">
        <v>1633</v>
      </c>
      <c r="M38" s="1"/>
      <c r="N38" s="1"/>
      <c r="O38" s="1"/>
      <c r="P38" s="1"/>
      <c r="Q38" s="1"/>
      <c r="R38" s="1"/>
      <c r="S38" s="1"/>
      <c r="T38" s="1"/>
      <c r="U38" s="1"/>
      <c r="V38" s="1"/>
      <c r="W38" s="1"/>
      <c r="X38" s="1"/>
    </row>
    <row r="39" spans="1:24">
      <c r="B39" s="269">
        <f>B32</f>
        <v>2020</v>
      </c>
      <c r="C39" s="1054">
        <f>SUMPRODUCT(E23:E25,D23:D25)/SUM(D23:D25)</f>
        <v>0.5959374999999999</v>
      </c>
      <c r="D39" s="1053">
        <f>E32*C39</f>
        <v>50952.656249999993</v>
      </c>
      <c r="E39" s="1053">
        <f>F32+D39</f>
        <v>426152.65625</v>
      </c>
      <c r="F39" s="1052"/>
      <c r="M39" s="1"/>
      <c r="N39" s="1"/>
      <c r="O39" s="1"/>
      <c r="P39" s="1"/>
      <c r="Q39" s="1"/>
      <c r="R39" s="1"/>
      <c r="S39" s="1"/>
      <c r="T39" s="1"/>
      <c r="U39" s="1"/>
      <c r="V39" s="1"/>
      <c r="W39" s="1"/>
      <c r="X39" s="1"/>
    </row>
    <row r="40" spans="1:24">
      <c r="B40" s="269">
        <f>B33</f>
        <v>2021</v>
      </c>
      <c r="C40" s="1054">
        <f>SUMPRODUCT(E22:E25,D22:D25)/SUM(D22:D25)</f>
        <v>1.3534999999999999</v>
      </c>
      <c r="D40" s="1053">
        <f>E33*C40</f>
        <v>433255.35</v>
      </c>
      <c r="E40" s="1053">
        <f>F33+D40</f>
        <v>433255.35</v>
      </c>
      <c r="F40" s="1052"/>
      <c r="M40" s="1"/>
      <c r="N40" s="1"/>
      <c r="O40" s="1"/>
      <c r="P40" s="1"/>
      <c r="Q40" s="1"/>
      <c r="R40" s="1"/>
      <c r="S40" s="1"/>
      <c r="T40" s="1"/>
      <c r="U40" s="1"/>
      <c r="V40" s="1"/>
      <c r="W40" s="1"/>
      <c r="X40" s="1"/>
    </row>
    <row r="41" spans="1:24">
      <c r="B41" s="269" t="s">
        <v>98</v>
      </c>
      <c r="C41" s="269"/>
      <c r="D41" s="1053">
        <f>SUM(D39:D40)</f>
        <v>484208.00624999998</v>
      </c>
      <c r="E41" s="1053">
        <f>SUM(E39:E40)</f>
        <v>859408.00624999998</v>
      </c>
      <c r="F41" s="1052">
        <f>E41-C32-C33</f>
        <v>102108.00624999998</v>
      </c>
      <c r="M41" s="1"/>
      <c r="N41" s="1"/>
      <c r="O41" s="1"/>
      <c r="P41" s="1"/>
      <c r="Q41" s="1"/>
      <c r="R41" s="1"/>
      <c r="S41" s="1"/>
      <c r="T41" s="1"/>
      <c r="U41" s="1"/>
      <c r="V41" s="1"/>
      <c r="W41" s="1"/>
      <c r="X41" s="1"/>
    </row>
    <row r="42" spans="1:24">
      <c r="B42"/>
      <c r="C42" s="1051"/>
      <c r="D42" s="1051"/>
      <c r="E42" s="1051"/>
      <c r="F42" s="1051"/>
      <c r="M42" s="1"/>
      <c r="N42" s="1"/>
      <c r="O42" s="1"/>
      <c r="P42" s="1"/>
      <c r="Q42" s="1"/>
      <c r="R42" s="1"/>
      <c r="S42" s="1"/>
      <c r="T42" s="1"/>
      <c r="U42" s="1"/>
      <c r="V42" s="1"/>
      <c r="W42" s="1"/>
      <c r="X42" s="1"/>
    </row>
    <row r="43" spans="1:24">
      <c r="M43" s="1"/>
      <c r="N43" s="1"/>
      <c r="O43" s="1"/>
      <c r="P43" s="1"/>
      <c r="Q43" s="1"/>
      <c r="R43" s="1"/>
      <c r="S43" s="1"/>
      <c r="T43" s="1"/>
      <c r="U43" s="1"/>
      <c r="V43" s="1"/>
      <c r="W43" s="1"/>
      <c r="X43" s="1"/>
    </row>
    <row r="44" spans="1:24">
      <c r="M44" s="1"/>
      <c r="N44" s="1"/>
      <c r="O44" s="1"/>
      <c r="P44" s="1"/>
      <c r="Q44" s="1"/>
      <c r="R44" s="1"/>
      <c r="S44" s="1"/>
      <c r="T44" s="1"/>
      <c r="U44" s="1"/>
      <c r="V44" s="1"/>
      <c r="W44" s="1"/>
      <c r="X44" s="1"/>
    </row>
    <row r="45" spans="1:24">
      <c r="M45" s="1"/>
      <c r="N45" s="1"/>
      <c r="O45" s="1"/>
      <c r="P45" s="1"/>
      <c r="Q45" s="1"/>
      <c r="R45" s="1"/>
      <c r="S45" s="1"/>
      <c r="T45" s="1"/>
      <c r="U45" s="1"/>
      <c r="V45" s="1"/>
      <c r="W45" s="1"/>
      <c r="X45" s="1"/>
    </row>
    <row r="46" spans="1:24">
      <c r="M46" s="1"/>
      <c r="N46" s="1"/>
      <c r="O46" s="1"/>
      <c r="P46" s="1"/>
      <c r="Q46" s="1"/>
      <c r="R46" s="1"/>
      <c r="S46" s="1"/>
      <c r="T46" s="1"/>
      <c r="U46" s="1"/>
      <c r="V46" s="1"/>
      <c r="W46" s="1"/>
      <c r="X46" s="1"/>
    </row>
    <row r="47" spans="1:24">
      <c r="M47" s="1"/>
      <c r="N47" s="1"/>
      <c r="O47" s="1"/>
      <c r="P47" s="1"/>
      <c r="Q47" s="1"/>
      <c r="R47" s="1"/>
      <c r="S47" s="1"/>
      <c r="T47" s="1"/>
      <c r="U47" s="1"/>
      <c r="V47" s="1"/>
      <c r="W47" s="1"/>
      <c r="X47" s="1"/>
    </row>
    <row r="48" spans="1:24">
      <c r="M48" s="1"/>
      <c r="N48" s="1"/>
      <c r="O48" s="1"/>
      <c r="P48" s="1"/>
      <c r="Q48" s="1"/>
      <c r="R48" s="1"/>
      <c r="S48" s="1"/>
      <c r="T48" s="1"/>
      <c r="U48" s="1"/>
      <c r="V48" s="1"/>
      <c r="W48" s="1"/>
      <c r="X48" s="1"/>
    </row>
    <row r="49" s="1" customFormat="1"/>
    <row r="50" s="1" customFormat="1"/>
    <row r="51" s="1" customFormat="1"/>
    <row r="52" s="1" customFormat="1"/>
    <row r="53" s="1" customFormat="1"/>
    <row r="54" s="1" customFormat="1"/>
    <row r="55" s="1" customFormat="1" ht="15.75" customHeight="1"/>
    <row r="56" s="1" customFormat="1" ht="15.75" customHeight="1"/>
    <row r="57" s="1" customFormat="1" ht="15.75" customHeight="1"/>
    <row r="58" s="1" customFormat="1" ht="15.75" customHeight="1"/>
    <row r="59" s="1" customFormat="1" ht="15.75" customHeight="1"/>
    <row r="60" s="1" customFormat="1" ht="15.75" customHeight="1"/>
    <row r="61" s="1" customFormat="1" ht="15.75" customHeight="1"/>
    <row r="62" s="1" customFormat="1" ht="15.75" customHeight="1"/>
    <row r="63" s="1" customFormat="1" ht="15.75" customHeight="1"/>
    <row r="64" s="1" customFormat="1" ht="15.75" customHeight="1"/>
    <row r="65" spans="13:24" ht="15.75" customHeight="1">
      <c r="M65" s="1"/>
      <c r="N65" s="1"/>
      <c r="O65" s="1"/>
      <c r="P65" s="1"/>
      <c r="Q65" s="1"/>
      <c r="R65" s="1"/>
      <c r="S65" s="1"/>
      <c r="T65" s="1"/>
      <c r="U65" s="1"/>
      <c r="V65" s="1"/>
      <c r="W65" s="1"/>
      <c r="X65" s="1"/>
    </row>
    <row r="66" spans="13:24" ht="15.75" customHeight="1">
      <c r="M66" s="1"/>
      <c r="N66" s="1"/>
      <c r="O66" s="1"/>
      <c r="P66" s="1"/>
      <c r="Q66" s="1"/>
      <c r="R66" s="1"/>
      <c r="S66" s="1"/>
      <c r="T66" s="1"/>
      <c r="U66" s="1"/>
      <c r="V66" s="1"/>
      <c r="W66" s="1"/>
      <c r="X66" s="1"/>
    </row>
    <row r="67" spans="13:24" ht="15.75" customHeight="1"/>
    <row r="68" spans="13:24" ht="15.75" customHeight="1"/>
    <row r="69" spans="13:24" ht="15.75" customHeight="1"/>
    <row r="70" spans="13:24" ht="15.75" customHeight="1"/>
    <row r="71" spans="13:24" ht="15.75" customHeight="1"/>
    <row r="72" spans="13:24" ht="15.75" customHeight="1"/>
    <row r="73" spans="13:24" ht="15.75" customHeight="1"/>
  </sheetData>
  <mergeCells count="6">
    <mergeCell ref="B35:L35"/>
    <mergeCell ref="A4:L4"/>
    <mergeCell ref="A8:L8"/>
    <mergeCell ref="B10:L10"/>
    <mergeCell ref="B13:L13"/>
    <mergeCell ref="B16:L16"/>
  </mergeCell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BD150-0477-4CCB-879C-C003DA075D75}">
  <dimension ref="A1:X75"/>
  <sheetViews>
    <sheetView zoomScaleNormal="100" workbookViewId="0"/>
  </sheetViews>
  <sheetFormatPr defaultColWidth="9.109375" defaultRowHeight="15.6"/>
  <cols>
    <col min="1" max="1" width="7.88671875" style="1" customWidth="1"/>
    <col min="2" max="3" width="11.6640625" style="1" customWidth="1"/>
    <col min="4" max="6" width="9.109375" style="1" customWidth="1"/>
    <col min="7" max="12" width="9.109375" style="1"/>
    <col min="13" max="13" width="8.88671875" bestFit="1" customWidth="1"/>
    <col min="25" max="16384" width="9.109375" style="1"/>
  </cols>
  <sheetData>
    <row r="1" spans="1:13" ht="15.75" customHeight="1">
      <c r="A1" s="23" t="s">
        <v>1280</v>
      </c>
      <c r="B1" s="22"/>
      <c r="C1" s="5" t="s">
        <v>38</v>
      </c>
      <c r="D1" s="22"/>
      <c r="E1" s="22"/>
      <c r="F1" s="22"/>
      <c r="G1" s="22"/>
      <c r="H1" s="22"/>
      <c r="I1" s="22"/>
      <c r="J1" s="22"/>
      <c r="K1" s="22"/>
      <c r="L1" s="2"/>
      <c r="M1" s="2"/>
    </row>
    <row r="2" spans="1:13" ht="15.75" customHeight="1">
      <c r="A2" s="21"/>
      <c r="B2" s="21"/>
      <c r="C2" s="160" t="s">
        <v>1682</v>
      </c>
      <c r="D2" s="137"/>
      <c r="E2" s="137"/>
      <c r="F2" s="137"/>
      <c r="G2" s="137"/>
      <c r="H2" s="137"/>
      <c r="I2" s="1062"/>
      <c r="J2" s="159"/>
      <c r="K2" s="159"/>
      <c r="L2" s="159"/>
      <c r="M2" s="159"/>
    </row>
    <row r="3" spans="1:13" ht="15.75" customHeight="1">
      <c r="A3" s="21"/>
      <c r="B3" s="21"/>
      <c r="C3" s="21"/>
      <c r="D3" s="21"/>
      <c r="E3" s="21"/>
      <c r="F3" s="21"/>
      <c r="G3" s="21"/>
      <c r="H3" s="21"/>
      <c r="I3" s="21"/>
      <c r="J3" s="21"/>
      <c r="K3" s="21"/>
      <c r="L3" s="2"/>
      <c r="M3" s="2"/>
    </row>
    <row r="4" spans="1:13">
      <c r="A4" s="1873" t="s">
        <v>1681</v>
      </c>
      <c r="B4" s="1873"/>
      <c r="C4" s="1873"/>
      <c r="D4" s="1873"/>
      <c r="E4" s="1873"/>
      <c r="F4" s="1873"/>
      <c r="G4" s="1873"/>
      <c r="H4" s="1873"/>
      <c r="I4" s="1873"/>
      <c r="J4" s="1873"/>
      <c r="K4" s="1873"/>
      <c r="L4" s="1873"/>
      <c r="M4" s="2"/>
    </row>
    <row r="5" spans="1:13">
      <c r="A5" s="21"/>
      <c r="B5" s="136"/>
      <c r="C5" s="136"/>
      <c r="D5" s="136"/>
      <c r="E5" s="136"/>
      <c r="F5" s="136"/>
      <c r="G5" s="136"/>
      <c r="H5" s="136"/>
      <c r="I5" s="136"/>
      <c r="J5" s="136"/>
      <c r="K5" s="136"/>
      <c r="L5" s="136"/>
      <c r="M5" s="2"/>
    </row>
    <row r="6" spans="1:13">
      <c r="A6" s="214" t="s">
        <v>80</v>
      </c>
      <c r="B6" s="1655" t="s">
        <v>1680</v>
      </c>
      <c r="C6" s="1655"/>
      <c r="D6" s="1655"/>
      <c r="E6" s="1655"/>
      <c r="F6" s="1655"/>
      <c r="G6" s="1655"/>
      <c r="H6" s="1655"/>
      <c r="I6" s="1655"/>
      <c r="J6" s="1655"/>
      <c r="K6" s="1655"/>
      <c r="L6" s="1655"/>
      <c r="M6" s="2"/>
    </row>
    <row r="7" spans="1:13">
      <c r="A7" s="214"/>
      <c r="B7" s="1068" t="s">
        <v>350</v>
      </c>
      <c r="C7" s="47" t="s">
        <v>1679</v>
      </c>
      <c r="D7" s="45"/>
      <c r="E7" s="45"/>
      <c r="F7" s="45"/>
      <c r="G7" s="45"/>
      <c r="H7" s="45"/>
      <c r="I7" s="45"/>
      <c r="J7" s="45"/>
      <c r="K7" s="45"/>
      <c r="L7" s="45"/>
      <c r="M7" s="2"/>
    </row>
    <row r="8" spans="1:13">
      <c r="A8" s="214"/>
      <c r="B8" s="1068" t="s">
        <v>344</v>
      </c>
      <c r="C8" s="47" t="s">
        <v>1678</v>
      </c>
      <c r="D8" s="45"/>
      <c r="E8" s="45"/>
      <c r="F8" s="45"/>
      <c r="G8" s="45"/>
      <c r="H8" s="45"/>
      <c r="I8" s="45"/>
      <c r="J8" s="45"/>
      <c r="K8" s="45"/>
      <c r="L8" s="45"/>
      <c r="M8" s="2"/>
    </row>
    <row r="9" spans="1:13">
      <c r="A9" s="21"/>
      <c r="B9" s="1068" t="s">
        <v>974</v>
      </c>
      <c r="C9" s="47" t="s">
        <v>1187</v>
      </c>
      <c r="D9" s="45"/>
      <c r="E9" s="45"/>
      <c r="F9" s="45"/>
      <c r="G9" s="45"/>
      <c r="H9" s="3"/>
      <c r="I9" s="3"/>
      <c r="J9" s="135"/>
      <c r="K9" s="135"/>
      <c r="L9" s="135"/>
      <c r="M9" s="2"/>
    </row>
    <row r="10" spans="1:13" ht="16.2">
      <c r="A10" s="21"/>
      <c r="B10" s="160" t="s">
        <v>185</v>
      </c>
      <c r="C10" s="159"/>
      <c r="D10" s="159"/>
      <c r="E10" s="159"/>
      <c r="F10" s="159"/>
      <c r="G10" s="159"/>
      <c r="H10" s="159"/>
      <c r="I10" s="159"/>
      <c r="J10" s="159"/>
      <c r="K10" s="159"/>
      <c r="L10" s="159"/>
      <c r="M10" s="2"/>
    </row>
    <row r="11" spans="1:13" ht="16.2">
      <c r="A11" s="21"/>
      <c r="B11" s="5"/>
      <c r="C11" s="3"/>
      <c r="D11" s="3"/>
      <c r="E11" s="3"/>
      <c r="F11" s="3"/>
      <c r="G11" s="3"/>
      <c r="H11" s="3"/>
      <c r="I11" s="3"/>
      <c r="J11" s="135"/>
      <c r="K11" s="135"/>
      <c r="L11" s="135"/>
      <c r="M11" s="2"/>
    </row>
    <row r="12" spans="1:13">
      <c r="A12" s="21" t="s">
        <v>1677</v>
      </c>
      <c r="B12" s="21"/>
      <c r="C12" s="3"/>
      <c r="D12" s="3"/>
      <c r="E12" s="3"/>
      <c r="F12" s="3"/>
      <c r="G12" s="3"/>
      <c r="H12" s="3"/>
      <c r="I12" s="3"/>
      <c r="J12" s="135"/>
      <c r="K12" s="135"/>
      <c r="L12" s="135"/>
      <c r="M12" s="2"/>
    </row>
    <row r="13" spans="1:13" ht="16.2">
      <c r="A13" s="21"/>
      <c r="B13" s="5"/>
      <c r="C13" s="3"/>
      <c r="D13" s="3"/>
      <c r="E13" s="3"/>
      <c r="F13" s="3"/>
      <c r="G13" s="3"/>
      <c r="H13" s="3"/>
      <c r="I13" s="3"/>
      <c r="J13" s="135"/>
      <c r="K13" s="135"/>
      <c r="L13" s="135"/>
      <c r="M13" s="2"/>
    </row>
    <row r="14" spans="1:13" ht="47.4" customHeight="1">
      <c r="A14" s="1872" t="s">
        <v>1676</v>
      </c>
      <c r="B14" s="1872"/>
      <c r="C14" s="1872"/>
      <c r="D14" s="83" t="s">
        <v>1675</v>
      </c>
      <c r="E14" s="3"/>
      <c r="F14" s="3"/>
      <c r="G14" s="3"/>
      <c r="H14" s="3"/>
      <c r="I14" s="3"/>
      <c r="J14" s="135"/>
      <c r="K14" s="135"/>
      <c r="L14" s="135"/>
      <c r="M14" s="2"/>
    </row>
    <row r="15" spans="1:13" ht="15.6" customHeight="1">
      <c r="A15" s="1874" t="s">
        <v>1674</v>
      </c>
      <c r="B15" s="1874"/>
      <c r="C15" s="1874"/>
      <c r="D15" s="697">
        <v>0.25</v>
      </c>
      <c r="E15" s="3"/>
      <c r="F15" s="3"/>
      <c r="G15" s="3"/>
      <c r="H15" s="3"/>
      <c r="I15" s="3"/>
      <c r="J15" s="135"/>
      <c r="K15" s="135"/>
      <c r="L15" s="135"/>
      <c r="M15" s="2"/>
    </row>
    <row r="16" spans="1:13" ht="15.6" customHeight="1">
      <c r="A16" s="1874" t="s">
        <v>1673</v>
      </c>
      <c r="B16" s="1874"/>
      <c r="C16" s="1874"/>
      <c r="D16" s="697">
        <v>0.3</v>
      </c>
      <c r="E16" s="3"/>
      <c r="F16" s="3"/>
      <c r="G16" s="3"/>
      <c r="H16" s="3"/>
      <c r="I16" s="3"/>
      <c r="J16" s="135"/>
      <c r="K16" s="135"/>
      <c r="L16" s="135"/>
      <c r="M16" s="2"/>
    </row>
    <row r="17" spans="1:24" ht="15.6" customHeight="1">
      <c r="A17" s="1874" t="s">
        <v>1672</v>
      </c>
      <c r="B17" s="1874"/>
      <c r="C17" s="1874"/>
      <c r="D17" s="697">
        <v>0.2</v>
      </c>
      <c r="E17" s="3"/>
      <c r="F17" s="3"/>
      <c r="G17" s="3"/>
      <c r="H17" s="3"/>
      <c r="I17" s="3"/>
      <c r="J17" s="135"/>
      <c r="K17" s="135"/>
      <c r="L17" s="135"/>
      <c r="M17" s="2"/>
    </row>
    <row r="18" spans="1:24" ht="15.6" customHeight="1">
      <c r="A18" s="1874" t="s">
        <v>1671</v>
      </c>
      <c r="B18" s="1874"/>
      <c r="C18" s="1874"/>
      <c r="D18" s="697">
        <v>0.1</v>
      </c>
      <c r="E18" s="3"/>
      <c r="F18" s="3"/>
      <c r="G18" s="3"/>
      <c r="H18" s="3"/>
      <c r="I18" s="3"/>
      <c r="J18" s="135"/>
      <c r="K18" s="135"/>
      <c r="L18" s="135"/>
      <c r="M18" s="2"/>
    </row>
    <row r="19" spans="1:24" ht="15.6" customHeight="1">
      <c r="A19" s="1874" t="s">
        <v>1670</v>
      </c>
      <c r="B19" s="1874"/>
      <c r="C19" s="1874"/>
      <c r="D19" s="697">
        <v>0.1</v>
      </c>
      <c r="E19" s="3"/>
      <c r="F19" s="3"/>
      <c r="G19" s="3"/>
      <c r="H19" s="3"/>
      <c r="I19" s="3"/>
      <c r="J19" s="135"/>
      <c r="K19" s="135"/>
      <c r="L19" s="135"/>
      <c r="M19" s="2"/>
    </row>
    <row r="20" spans="1:24" ht="15.6" customHeight="1">
      <c r="A20" s="1874" t="s">
        <v>1669</v>
      </c>
      <c r="B20" s="1874"/>
      <c r="C20" s="1874"/>
      <c r="D20" s="697">
        <v>0.05</v>
      </c>
      <c r="E20" s="3"/>
      <c r="F20" s="3"/>
      <c r="G20" s="3"/>
      <c r="H20" s="3"/>
      <c r="I20" s="3"/>
      <c r="J20" s="135"/>
      <c r="K20" s="135"/>
      <c r="L20" s="135"/>
      <c r="M20" s="2"/>
    </row>
    <row r="21" spans="1:24" ht="16.2">
      <c r="A21" s="21"/>
      <c r="B21" s="5"/>
      <c r="C21" s="3"/>
      <c r="D21" s="3"/>
      <c r="E21" s="3"/>
      <c r="F21" s="3"/>
      <c r="G21" s="3"/>
      <c r="H21" s="3"/>
      <c r="I21" s="3"/>
      <c r="J21" s="135"/>
      <c r="K21" s="135"/>
      <c r="L21" s="135"/>
      <c r="M21" s="2"/>
    </row>
    <row r="22" spans="1:24">
      <c r="A22" s="162" t="s">
        <v>1668</v>
      </c>
      <c r="B22" s="21"/>
      <c r="C22" s="674"/>
      <c r="D22" s="675">
        <v>0.05</v>
      </c>
      <c r="E22" s="3" t="s">
        <v>1667</v>
      </c>
      <c r="F22" s="3"/>
      <c r="G22" s="3"/>
      <c r="H22" s="3"/>
      <c r="I22" s="3"/>
      <c r="J22" s="135"/>
      <c r="K22" s="135"/>
      <c r="L22" s="135"/>
      <c r="M22" s="2"/>
    </row>
    <row r="23" spans="1:24">
      <c r="A23" s="21"/>
      <c r="B23" s="21"/>
      <c r="C23" s="21"/>
      <c r="D23" s="21"/>
      <c r="E23" s="21"/>
      <c r="F23" s="21"/>
      <c r="G23" s="21"/>
      <c r="H23" s="21"/>
      <c r="I23" s="136"/>
      <c r="J23" s="3"/>
      <c r="K23" s="3"/>
      <c r="L23" s="2"/>
      <c r="M23" s="2"/>
      <c r="N23" s="1"/>
      <c r="O23" s="1"/>
      <c r="P23" s="1"/>
      <c r="Q23" s="1"/>
      <c r="R23" s="1"/>
      <c r="S23" s="1"/>
      <c r="T23" s="1"/>
      <c r="U23" s="1"/>
      <c r="V23" s="1"/>
      <c r="W23" s="1"/>
      <c r="X23" s="1"/>
    </row>
    <row r="24" spans="1:24">
      <c r="A24" s="214" t="s">
        <v>9</v>
      </c>
      <c r="B24" s="1655" t="s">
        <v>1666</v>
      </c>
      <c r="C24" s="1655"/>
      <c r="D24" s="1655"/>
      <c r="E24" s="1655"/>
      <c r="F24" s="1655"/>
      <c r="G24" s="1655"/>
      <c r="H24" s="1655"/>
      <c r="I24" s="1655"/>
      <c r="J24" s="1655"/>
      <c r="K24" s="1655"/>
      <c r="L24" s="1655"/>
      <c r="M24" s="2"/>
      <c r="N24" s="1"/>
      <c r="O24" s="1"/>
      <c r="P24" s="1"/>
      <c r="Q24" s="1"/>
      <c r="R24" s="1"/>
      <c r="S24" s="1"/>
      <c r="T24" s="1"/>
      <c r="U24" s="1"/>
      <c r="V24" s="1"/>
      <c r="W24" s="1"/>
      <c r="X24" s="1"/>
    </row>
    <row r="25" spans="1:24">
      <c r="A25" s="3"/>
      <c r="B25" s="1068" t="s">
        <v>350</v>
      </c>
      <c r="C25" s="47" t="s">
        <v>1665</v>
      </c>
      <c r="D25" s="45"/>
      <c r="E25" s="45"/>
      <c r="F25" s="45"/>
      <c r="G25" s="45"/>
      <c r="H25" s="45"/>
      <c r="I25" s="45"/>
      <c r="J25" s="45"/>
      <c r="K25" s="45"/>
      <c r="L25" s="45"/>
      <c r="M25" s="2"/>
      <c r="N25" s="1"/>
      <c r="O25" s="1"/>
      <c r="P25" s="1"/>
      <c r="Q25" s="1"/>
      <c r="R25" s="1"/>
      <c r="S25" s="1"/>
      <c r="T25" s="1"/>
      <c r="U25" s="1"/>
      <c r="V25" s="1"/>
      <c r="W25" s="1"/>
      <c r="X25" s="1"/>
    </row>
    <row r="26" spans="1:24">
      <c r="A26" s="214"/>
      <c r="B26" s="1068" t="s">
        <v>344</v>
      </c>
      <c r="C26" s="47" t="s">
        <v>1664</v>
      </c>
      <c r="D26" s="45"/>
      <c r="E26" s="45"/>
      <c r="F26" s="45"/>
      <c r="G26" s="45"/>
      <c r="H26" s="45"/>
      <c r="I26" s="45"/>
      <c r="J26" s="45"/>
      <c r="K26" s="45"/>
      <c r="L26" s="45"/>
      <c r="M26" s="2"/>
      <c r="N26" s="1"/>
      <c r="O26" s="1"/>
      <c r="P26" s="1"/>
      <c r="Q26" s="1"/>
      <c r="R26" s="1"/>
      <c r="S26" s="1"/>
      <c r="T26" s="1"/>
      <c r="U26" s="1"/>
      <c r="V26" s="1"/>
      <c r="W26" s="1"/>
      <c r="X26" s="1"/>
    </row>
    <row r="27" spans="1:24">
      <c r="A27" s="214"/>
      <c r="B27" s="1068" t="s">
        <v>974</v>
      </c>
      <c r="C27" s="47" t="s">
        <v>1368</v>
      </c>
      <c r="D27" s="45"/>
      <c r="E27" s="45"/>
      <c r="F27" s="45"/>
      <c r="G27" s="45"/>
      <c r="H27" s="45"/>
      <c r="I27" s="45"/>
      <c r="J27" s="45"/>
      <c r="K27" s="45"/>
      <c r="L27" s="45"/>
      <c r="M27" s="2"/>
      <c r="N27" s="1"/>
      <c r="O27" s="1"/>
      <c r="P27" s="1"/>
      <c r="Q27" s="1"/>
      <c r="R27" s="1"/>
      <c r="S27" s="1"/>
      <c r="T27" s="1"/>
      <c r="U27" s="1"/>
      <c r="V27" s="1"/>
      <c r="W27" s="1"/>
      <c r="X27" s="1"/>
    </row>
    <row r="28" spans="1:24" ht="16.2">
      <c r="A28" s="5"/>
      <c r="B28" s="5" t="s">
        <v>64</v>
      </c>
      <c r="C28" s="5"/>
      <c r="D28" s="4"/>
      <c r="E28" s="4"/>
      <c r="F28" s="4"/>
      <c r="G28" s="4"/>
      <c r="H28" s="3"/>
      <c r="I28" s="3"/>
      <c r="J28" s="2"/>
      <c r="K28" s="3"/>
      <c r="L28" s="2"/>
      <c r="M28" s="2"/>
      <c r="N28" s="1"/>
      <c r="O28" s="1"/>
      <c r="P28" s="1"/>
      <c r="Q28" s="1"/>
      <c r="R28" s="1"/>
      <c r="S28" s="1"/>
      <c r="T28" s="1"/>
      <c r="U28" s="1"/>
      <c r="V28" s="1"/>
      <c r="W28" s="1"/>
      <c r="X28" s="1"/>
    </row>
    <row r="29" spans="1:24">
      <c r="A29" s="950"/>
      <c r="B29" s="950"/>
      <c r="C29" s="950"/>
      <c r="D29" s="950"/>
      <c r="E29" s="950"/>
      <c r="F29" s="950"/>
      <c r="G29" s="950"/>
      <c r="H29" s="950"/>
      <c r="I29" s="950"/>
      <c r="J29" s="950"/>
      <c r="K29" s="950"/>
      <c r="L29" s="950"/>
      <c r="M29" s="950"/>
      <c r="N29" s="1"/>
      <c r="O29" s="1"/>
      <c r="P29" s="1"/>
      <c r="Q29" s="1"/>
      <c r="R29" s="1"/>
      <c r="S29" s="1"/>
      <c r="T29" s="1"/>
      <c r="U29" s="1"/>
      <c r="V29" s="1"/>
      <c r="W29" s="1"/>
      <c r="X29" s="1"/>
    </row>
    <row r="30" spans="1:24">
      <c r="A30" s="126" t="s">
        <v>1663</v>
      </c>
      <c r="B30" s="125"/>
      <c r="C30" s="1063"/>
      <c r="D30" s="1063"/>
      <c r="E30" s="1063"/>
      <c r="F30" s="1063"/>
      <c r="G30" s="125"/>
      <c r="H30" s="125"/>
      <c r="I30" s="125"/>
      <c r="J30" s="125"/>
      <c r="K30" s="125"/>
      <c r="L30" s="125"/>
      <c r="M30" s="950"/>
      <c r="N30" s="1"/>
      <c r="O30" s="1"/>
      <c r="P30" s="1"/>
      <c r="Q30" s="1"/>
      <c r="R30" s="1"/>
      <c r="S30" s="1"/>
      <c r="T30" s="1"/>
      <c r="U30" s="1"/>
      <c r="V30" s="1"/>
      <c r="W30" s="1"/>
      <c r="X30" s="1"/>
    </row>
    <row r="31" spans="1:24">
      <c r="A31"/>
      <c r="B31" s="125"/>
      <c r="C31"/>
      <c r="D31"/>
      <c r="E31"/>
      <c r="F31"/>
      <c r="G31"/>
      <c r="H31"/>
      <c r="I31"/>
      <c r="J31"/>
      <c r="K31"/>
      <c r="L31"/>
      <c r="M31" s="950"/>
      <c r="N31" s="1"/>
      <c r="O31" s="1"/>
      <c r="P31" s="1"/>
      <c r="Q31" s="1"/>
      <c r="R31" s="1"/>
      <c r="S31" s="1"/>
      <c r="T31" s="1"/>
      <c r="U31" s="1"/>
      <c r="V31" s="1"/>
      <c r="W31" s="1"/>
      <c r="X31" s="1"/>
    </row>
    <row r="32" spans="1:24">
      <c r="A32"/>
      <c r="B32" s="125"/>
      <c r="C32" t="s">
        <v>1220</v>
      </c>
      <c r="D32"/>
      <c r="E32"/>
      <c r="F32"/>
      <c r="G32"/>
      <c r="H32"/>
      <c r="I32"/>
      <c r="J32"/>
      <c r="K32"/>
      <c r="L32"/>
      <c r="M32" s="950"/>
      <c r="N32" s="1"/>
      <c r="O32" s="1"/>
      <c r="P32" s="1"/>
      <c r="Q32" s="1"/>
      <c r="R32" s="1"/>
      <c r="S32" s="1"/>
      <c r="T32" s="1"/>
      <c r="U32" s="1"/>
      <c r="V32" s="1"/>
      <c r="W32" s="1"/>
      <c r="X32" s="1"/>
    </row>
    <row r="33" spans="1:24">
      <c r="A33"/>
      <c r="B33" s="269" t="s">
        <v>1335</v>
      </c>
      <c r="C33" s="269" t="s">
        <v>1660</v>
      </c>
      <c r="D33" s="269" t="s">
        <v>1659</v>
      </c>
      <c r="E33" s="269" t="s">
        <v>1658</v>
      </c>
      <c r="F33" s="269" t="s">
        <v>1657</v>
      </c>
      <c r="G33" s="269" t="s">
        <v>1656</v>
      </c>
      <c r="H33" s="269" t="s">
        <v>1655</v>
      </c>
      <c r="I33"/>
      <c r="J33"/>
      <c r="K33"/>
      <c r="L33"/>
      <c r="M33" s="950"/>
      <c r="N33" s="1"/>
      <c r="O33" s="1"/>
      <c r="P33" s="1"/>
      <c r="Q33" s="1"/>
      <c r="R33" s="1"/>
      <c r="S33" s="1"/>
      <c r="T33" s="1"/>
      <c r="U33" s="1"/>
      <c r="V33" s="1"/>
      <c r="W33" s="1"/>
      <c r="X33" s="1"/>
    </row>
    <row r="34" spans="1:24">
      <c r="A34"/>
      <c r="B34" s="269">
        <v>0</v>
      </c>
      <c r="C34" s="462">
        <f ca="1">100*OFFSET($D$15,$B34,0)</f>
        <v>25</v>
      </c>
      <c r="D34" s="1065"/>
      <c r="E34" s="1065"/>
      <c r="F34" s="1065"/>
      <c r="G34" s="1065"/>
      <c r="H34" s="1065"/>
      <c r="I34"/>
      <c r="J34"/>
      <c r="K34"/>
      <c r="L34"/>
      <c r="M34" s="950"/>
      <c r="N34" s="1"/>
      <c r="O34" s="1"/>
      <c r="P34" s="1"/>
      <c r="Q34" s="1"/>
      <c r="R34" s="1"/>
      <c r="S34" s="1"/>
      <c r="T34" s="1"/>
      <c r="U34" s="1"/>
      <c r="V34" s="1"/>
      <c r="W34" s="1"/>
      <c r="X34" s="1"/>
    </row>
    <row r="35" spans="1:24">
      <c r="A35"/>
      <c r="B35" s="269">
        <v>1</v>
      </c>
      <c r="C35" s="462"/>
      <c r="D35" s="462">
        <f ca="1">100*OFFSET($D$15,$B35,0)</f>
        <v>30</v>
      </c>
      <c r="E35" s="1065"/>
      <c r="F35" s="1065"/>
      <c r="G35" s="1065"/>
      <c r="H35" s="1065"/>
      <c r="I35"/>
      <c r="J35"/>
      <c r="K35"/>
      <c r="L35"/>
      <c r="M35" s="950"/>
      <c r="N35" s="1"/>
      <c r="O35" s="1"/>
      <c r="P35" s="1"/>
      <c r="Q35" s="1"/>
      <c r="R35" s="1"/>
      <c r="S35" s="1"/>
      <c r="T35" s="1"/>
      <c r="U35" s="1"/>
      <c r="V35" s="1"/>
      <c r="W35" s="1"/>
      <c r="X35" s="1"/>
    </row>
    <row r="36" spans="1:24">
      <c r="A36"/>
      <c r="B36" s="269">
        <v>2</v>
      </c>
      <c r="C36" s="462"/>
      <c r="D36" s="1065"/>
      <c r="E36" s="462">
        <f ca="1">100*OFFSET($D$15,$B36,0)</f>
        <v>20</v>
      </c>
      <c r="F36" s="1065"/>
      <c r="G36" s="1065"/>
      <c r="H36" s="1065"/>
      <c r="I36"/>
      <c r="J36"/>
      <c r="K36"/>
      <c r="L36"/>
      <c r="M36" s="950"/>
      <c r="N36" s="1"/>
      <c r="O36" s="1"/>
      <c r="P36" s="1"/>
      <c r="Q36" s="1"/>
      <c r="R36" s="1"/>
      <c r="S36" s="1"/>
      <c r="T36" s="1"/>
      <c r="U36" s="1"/>
      <c r="V36" s="1"/>
      <c r="W36" s="1"/>
      <c r="X36" s="1"/>
    </row>
    <row r="37" spans="1:24">
      <c r="A37"/>
      <c r="B37" s="269">
        <v>3</v>
      </c>
      <c r="C37" s="462"/>
      <c r="D37" s="1065"/>
      <c r="E37" s="1065"/>
      <c r="F37" s="462">
        <f ca="1">100*OFFSET($D$15,$B37,0)</f>
        <v>10</v>
      </c>
      <c r="G37" s="1065"/>
      <c r="H37" s="1065"/>
      <c r="I37"/>
      <c r="J37"/>
      <c r="K37"/>
      <c r="L37"/>
      <c r="M37" s="950"/>
      <c r="N37" s="1"/>
      <c r="O37" s="1"/>
      <c r="P37" s="1"/>
      <c r="Q37" s="1"/>
      <c r="R37" s="1"/>
      <c r="S37" s="1"/>
      <c r="T37" s="1"/>
      <c r="U37" s="1"/>
      <c r="V37" s="1"/>
      <c r="W37" s="1"/>
      <c r="X37" s="1"/>
    </row>
    <row r="38" spans="1:24">
      <c r="A38"/>
      <c r="B38" s="269">
        <v>4</v>
      </c>
      <c r="C38" s="462"/>
      <c r="D38" s="1065"/>
      <c r="E38" s="1065"/>
      <c r="F38" s="1065"/>
      <c r="G38" s="462">
        <f ca="1">100*OFFSET($D$15,$B38,0)</f>
        <v>10</v>
      </c>
      <c r="H38" s="1065"/>
      <c r="I38"/>
      <c r="J38"/>
      <c r="K38"/>
      <c r="L38"/>
      <c r="M38" s="950"/>
      <c r="N38" s="1"/>
      <c r="O38" s="1"/>
      <c r="P38" s="1"/>
      <c r="Q38" s="1"/>
      <c r="R38" s="1"/>
      <c r="S38" s="1"/>
      <c r="T38" s="1"/>
      <c r="U38" s="1"/>
      <c r="V38" s="1"/>
      <c r="W38" s="1"/>
      <c r="X38" s="1"/>
    </row>
    <row r="39" spans="1:24">
      <c r="A39"/>
      <c r="B39" s="269">
        <v>5</v>
      </c>
      <c r="C39" s="462"/>
      <c r="D39" s="1065"/>
      <c r="E39" s="1065"/>
      <c r="F39" s="1065"/>
      <c r="G39" s="1065"/>
      <c r="H39" s="462">
        <f ca="1">100*OFFSET($D$15,$B39,0)</f>
        <v>5</v>
      </c>
      <c r="I39"/>
      <c r="J39"/>
      <c r="K39"/>
      <c r="L39"/>
      <c r="M39" s="950"/>
      <c r="N39" s="1"/>
      <c r="O39" s="1"/>
      <c r="P39" s="1"/>
      <c r="Q39" s="1"/>
      <c r="R39" s="1"/>
      <c r="S39" s="1"/>
      <c r="T39" s="1"/>
      <c r="U39" s="1"/>
      <c r="V39" s="1"/>
      <c r="W39" s="1"/>
      <c r="X39" s="1"/>
    </row>
    <row r="40" spans="1:24">
      <c r="A40"/>
      <c r="B40" s="125"/>
      <c r="C40"/>
      <c r="D40"/>
      <c r="E40"/>
      <c r="F40"/>
      <c r="G40"/>
      <c r="H40"/>
      <c r="I40"/>
      <c r="J40"/>
      <c r="K40"/>
      <c r="L40"/>
      <c r="M40" s="950"/>
      <c r="N40" s="1"/>
      <c r="O40" s="1"/>
      <c r="P40" s="1"/>
      <c r="Q40" s="1"/>
      <c r="R40" s="1"/>
      <c r="S40" s="1"/>
      <c r="T40" s="1"/>
      <c r="U40" s="1"/>
      <c r="V40" s="1"/>
      <c r="W40" s="1"/>
      <c r="X40" s="1"/>
    </row>
    <row r="41" spans="1:24" ht="15.75" customHeight="1">
      <c r="A41"/>
      <c r="B41" s="125" t="s">
        <v>1187</v>
      </c>
      <c r="C41" s="1064">
        <f ca="1">SUM(D35:H39)/SUM(C34:C39)</f>
        <v>3</v>
      </c>
      <c r="D41" s="1063"/>
      <c r="E41" s="125"/>
      <c r="F41"/>
      <c r="G41"/>
      <c r="H41"/>
      <c r="I41"/>
      <c r="J41"/>
      <c r="K41"/>
      <c r="L41"/>
      <c r="M41" s="950"/>
      <c r="N41" s="1"/>
      <c r="O41" s="1"/>
      <c r="P41" s="1"/>
      <c r="Q41" s="1"/>
      <c r="R41" s="1"/>
      <c r="S41" s="1"/>
      <c r="T41" s="1"/>
      <c r="U41" s="1"/>
      <c r="V41" s="1"/>
      <c r="W41" s="1"/>
      <c r="X41" s="1"/>
    </row>
    <row r="42" spans="1:24" ht="15.75" customHeight="1">
      <c r="A42"/>
      <c r="B42" s="125"/>
      <c r="C42"/>
      <c r="D42"/>
      <c r="E42"/>
      <c r="F42"/>
      <c r="G42"/>
      <c r="H42"/>
      <c r="I42"/>
      <c r="J42"/>
      <c r="K42"/>
      <c r="L42"/>
      <c r="M42" s="950"/>
      <c r="N42" s="1"/>
      <c r="O42" s="1"/>
      <c r="P42" s="1"/>
      <c r="Q42" s="1"/>
      <c r="R42" s="1"/>
      <c r="S42" s="1"/>
      <c r="T42" s="1"/>
      <c r="U42" s="1"/>
      <c r="V42" s="1"/>
      <c r="W42" s="1"/>
      <c r="X42" s="1"/>
    </row>
    <row r="43" spans="1:24" ht="15.75" customHeight="1">
      <c r="A43" s="1066" t="s">
        <v>1662</v>
      </c>
      <c r="B43" s="1067"/>
      <c r="C43"/>
      <c r="D43"/>
      <c r="E43"/>
      <c r="F43"/>
      <c r="G43"/>
      <c r="H43"/>
      <c r="I43"/>
      <c r="J43"/>
      <c r="K43"/>
      <c r="L43"/>
      <c r="M43" s="950"/>
      <c r="N43" s="1"/>
      <c r="O43" s="1"/>
      <c r="P43" s="1"/>
      <c r="Q43" s="1"/>
      <c r="R43" s="1"/>
      <c r="S43" s="1"/>
      <c r="T43" s="1"/>
      <c r="U43" s="1"/>
      <c r="V43" s="1"/>
      <c r="W43" s="1"/>
      <c r="X43" s="1"/>
    </row>
    <row r="44" spans="1:24" ht="15.75" customHeight="1">
      <c r="A44"/>
      <c r="B44" s="125"/>
      <c r="C44" t="s">
        <v>1220</v>
      </c>
      <c r="D44"/>
      <c r="E44"/>
      <c r="F44"/>
      <c r="G44"/>
      <c r="H44"/>
      <c r="I44"/>
      <c r="J44"/>
      <c r="K44"/>
      <c r="L44"/>
      <c r="M44" s="950"/>
      <c r="N44" s="1"/>
      <c r="O44" s="1"/>
      <c r="P44" s="1"/>
      <c r="Q44" s="1"/>
      <c r="R44" s="1"/>
      <c r="S44" s="1"/>
      <c r="T44" s="1"/>
      <c r="U44" s="1"/>
      <c r="V44" s="1"/>
      <c r="W44" s="1"/>
      <c r="X44" s="1"/>
    </row>
    <row r="45" spans="1:24" ht="15.75" customHeight="1">
      <c r="A45"/>
      <c r="B45" s="269" t="s">
        <v>1335</v>
      </c>
      <c r="C45" s="269" t="s">
        <v>1660</v>
      </c>
      <c r="D45" s="269" t="s">
        <v>1659</v>
      </c>
      <c r="E45" s="269" t="s">
        <v>1658</v>
      </c>
      <c r="F45" s="269" t="s">
        <v>1657</v>
      </c>
      <c r="G45" s="269" t="s">
        <v>1656</v>
      </c>
      <c r="H45" s="269" t="s">
        <v>1655</v>
      </c>
      <c r="I45"/>
      <c r="J45"/>
      <c r="K45"/>
      <c r="L45"/>
      <c r="M45" s="950"/>
      <c r="N45" s="1"/>
      <c r="O45" s="1"/>
      <c r="P45" s="1"/>
      <c r="Q45" s="1"/>
      <c r="R45" s="1"/>
      <c r="S45" s="1"/>
      <c r="T45" s="1"/>
      <c r="U45" s="1"/>
      <c r="V45" s="1"/>
      <c r="W45" s="1"/>
      <c r="X45" s="1"/>
    </row>
    <row r="46" spans="1:24" ht="15.75" customHeight="1">
      <c r="A46"/>
      <c r="B46" s="269">
        <v>0</v>
      </c>
      <c r="C46" s="462">
        <f ca="1">100*OFFSET($D$15,$B46,0)</f>
        <v>25</v>
      </c>
      <c r="D46" s="1065"/>
      <c r="E46" s="1065"/>
      <c r="F46" s="1065"/>
      <c r="G46" s="1065"/>
      <c r="H46" s="1065"/>
      <c r="I46"/>
      <c r="J46"/>
      <c r="K46"/>
      <c r="L46"/>
      <c r="M46" s="950"/>
      <c r="N46" s="1"/>
      <c r="O46" s="1"/>
      <c r="P46" s="1"/>
      <c r="Q46" s="1"/>
      <c r="R46" s="1"/>
      <c r="S46" s="1"/>
      <c r="T46" s="1"/>
      <c r="U46" s="1"/>
      <c r="V46" s="1"/>
      <c r="W46" s="1"/>
      <c r="X46" s="1"/>
    </row>
    <row r="47" spans="1:24" ht="15.75" customHeight="1">
      <c r="A47"/>
      <c r="B47" s="269">
        <v>1</v>
      </c>
      <c r="C47" s="462">
        <f ca="1">100*OFFSET($D$15,$B47,0)/(1+$D$22)^1</f>
        <v>28.571428571428569</v>
      </c>
      <c r="D47" s="462">
        <f ca="1">100*OFFSET($D$15,$B47,0)</f>
        <v>30</v>
      </c>
      <c r="E47" s="1065"/>
      <c r="F47" s="1065"/>
      <c r="G47" s="1065"/>
      <c r="H47" s="1065"/>
      <c r="I47"/>
      <c r="J47"/>
      <c r="K47"/>
      <c r="L47"/>
      <c r="M47" s="950"/>
      <c r="N47" s="1"/>
      <c r="O47" s="1"/>
      <c r="P47" s="1"/>
      <c r="Q47" s="1"/>
      <c r="R47" s="1"/>
      <c r="S47" s="1"/>
      <c r="T47" s="1"/>
      <c r="U47" s="1"/>
      <c r="V47" s="1"/>
      <c r="W47" s="1"/>
      <c r="X47" s="1"/>
    </row>
    <row r="48" spans="1:24" ht="15.75" customHeight="1">
      <c r="A48"/>
      <c r="B48" s="269">
        <v>2</v>
      </c>
      <c r="C48" s="462">
        <f ca="1">100*OFFSET($D$15,$B48,0)/(1+$D$22)^2</f>
        <v>18.140589569160998</v>
      </c>
      <c r="D48" s="462">
        <f ca="1">100*OFFSET($D$15,$B48,0)/(1+$D$22)^1</f>
        <v>19.047619047619047</v>
      </c>
      <c r="E48" s="462">
        <f ca="1">100*OFFSET($D$15,$B48,0)</f>
        <v>20</v>
      </c>
      <c r="F48" s="1065"/>
      <c r="G48" s="1065"/>
      <c r="H48" s="1065"/>
      <c r="I48"/>
      <c r="J48"/>
      <c r="K48"/>
      <c r="L48"/>
      <c r="M48" s="950"/>
      <c r="N48" s="1"/>
      <c r="O48" s="1"/>
      <c r="P48" s="1"/>
      <c r="Q48" s="1"/>
      <c r="R48" s="1"/>
      <c r="S48" s="1"/>
      <c r="T48" s="1"/>
      <c r="U48" s="1"/>
      <c r="V48" s="1"/>
      <c r="W48" s="1"/>
      <c r="X48" s="1"/>
    </row>
    <row r="49" spans="1:24" ht="15.75" customHeight="1">
      <c r="A49"/>
      <c r="B49" s="269">
        <v>3</v>
      </c>
      <c r="C49" s="462"/>
      <c r="D49" s="462">
        <f ca="1">100*OFFSET($D$15,$B49,0)/(1+$D$22)^2</f>
        <v>9.0702947845804989</v>
      </c>
      <c r="E49" s="462">
        <f ca="1">100*OFFSET($D$15,$B49,0)/(1+$D$22)^1</f>
        <v>9.5238095238095237</v>
      </c>
      <c r="F49" s="462">
        <f ca="1">100*OFFSET($D$15,$B49,0)</f>
        <v>10</v>
      </c>
      <c r="G49" s="1065"/>
      <c r="H49" s="1065"/>
      <c r="I49"/>
      <c r="J49"/>
      <c r="K49"/>
      <c r="L49"/>
      <c r="M49" s="950"/>
      <c r="N49" s="1"/>
      <c r="O49" s="1"/>
      <c r="P49" s="1"/>
      <c r="Q49" s="1"/>
      <c r="R49" s="1"/>
      <c r="S49" s="1"/>
      <c r="T49" s="1"/>
      <c r="U49" s="1"/>
      <c r="V49" s="1"/>
      <c r="W49" s="1"/>
      <c r="X49" s="1"/>
    </row>
    <row r="50" spans="1:24" ht="15.75" customHeight="1">
      <c r="A50"/>
      <c r="B50" s="269">
        <v>4</v>
      </c>
      <c r="C50" s="462"/>
      <c r="D50" s="1065"/>
      <c r="E50" s="462">
        <f ca="1">100*OFFSET($D$15,$B50,0)/(1+$D$22)^2</f>
        <v>9.0702947845804989</v>
      </c>
      <c r="F50" s="462">
        <f ca="1">100*OFFSET($D$15,$B50,0)/(1+$D$22)^1</f>
        <v>9.5238095238095237</v>
      </c>
      <c r="G50" s="462">
        <f ca="1">100*OFFSET($D$15,$B50,0)</f>
        <v>10</v>
      </c>
      <c r="H50" s="1065"/>
      <c r="I50"/>
      <c r="J50"/>
      <c r="K50"/>
      <c r="L50"/>
      <c r="M50" s="950"/>
      <c r="N50" s="1"/>
      <c r="O50" s="1"/>
      <c r="P50" s="1"/>
      <c r="Q50" s="1"/>
      <c r="R50" s="1"/>
      <c r="S50" s="1"/>
      <c r="T50" s="1"/>
      <c r="U50" s="1"/>
      <c r="V50" s="1"/>
      <c r="W50" s="1"/>
      <c r="X50" s="1"/>
    </row>
    <row r="51" spans="1:24" ht="15.75" customHeight="1">
      <c r="A51"/>
      <c r="B51" s="269">
        <v>5</v>
      </c>
      <c r="C51" s="462"/>
      <c r="D51" s="1065"/>
      <c r="E51" s="1065"/>
      <c r="F51" s="462">
        <f ca="1">100*OFFSET($D$15,$B51,0)/(1+$D$22)^2</f>
        <v>4.5351473922902494</v>
      </c>
      <c r="G51" s="462">
        <f ca="1">100*OFFSET($D$15,$B51,0)/(1+$D$22)^1</f>
        <v>4.7619047619047619</v>
      </c>
      <c r="H51" s="462">
        <f ca="1">100*OFFSET($D$15,$B51,0)</f>
        <v>5</v>
      </c>
      <c r="I51"/>
      <c r="J51"/>
      <c r="K51"/>
      <c r="L51"/>
      <c r="M51" s="950"/>
      <c r="N51" s="1"/>
      <c r="O51" s="1"/>
      <c r="P51" s="1"/>
      <c r="Q51" s="1"/>
      <c r="R51" s="1"/>
      <c r="S51" s="1"/>
      <c r="T51" s="1"/>
      <c r="U51" s="1"/>
      <c r="V51" s="1"/>
      <c r="W51" s="1"/>
      <c r="X51" s="1"/>
    </row>
    <row r="52" spans="1:24" ht="15.75" customHeight="1">
      <c r="A52"/>
      <c r="B52" s="125"/>
      <c r="C52"/>
      <c r="D52"/>
      <c r="E52"/>
      <c r="F52"/>
      <c r="G52"/>
      <c r="H52"/>
      <c r="I52"/>
      <c r="J52"/>
      <c r="K52"/>
      <c r="L52"/>
      <c r="M52" s="950"/>
      <c r="N52" s="1"/>
      <c r="O52" s="1"/>
      <c r="P52" s="1"/>
      <c r="Q52" s="1"/>
      <c r="R52" s="1"/>
      <c r="S52" s="1"/>
      <c r="T52" s="1"/>
      <c r="U52" s="1"/>
      <c r="V52" s="1"/>
      <c r="W52" s="1"/>
      <c r="X52" s="1"/>
    </row>
    <row r="53" spans="1:24" ht="15.75" customHeight="1">
      <c r="A53"/>
      <c r="B53" s="125" t="s">
        <v>1187</v>
      </c>
      <c r="C53" s="1064">
        <f ca="1">SUM(D47:H51)/SUM(C46:C51)</f>
        <v>1.9596837944664032</v>
      </c>
      <c r="D53" s="1063"/>
      <c r="E53"/>
      <c r="F53"/>
      <c r="G53"/>
      <c r="H53"/>
      <c r="I53"/>
      <c r="J53"/>
      <c r="K53"/>
      <c r="L53"/>
      <c r="M53" s="950"/>
    </row>
    <row r="54" spans="1:24" ht="15.75" customHeight="1">
      <c r="A54"/>
      <c r="B54" s="125"/>
      <c r="C54"/>
      <c r="D54"/>
      <c r="E54"/>
      <c r="F54"/>
      <c r="G54"/>
      <c r="H54"/>
      <c r="I54"/>
      <c r="J54"/>
      <c r="K54"/>
      <c r="L54"/>
      <c r="M54" s="950"/>
    </row>
    <row r="55" spans="1:24" ht="15.75" customHeight="1">
      <c r="A55" s="1066" t="s">
        <v>1661</v>
      </c>
      <c r="B55" s="125"/>
      <c r="C55"/>
      <c r="D55"/>
      <c r="E55"/>
      <c r="F55"/>
      <c r="G55"/>
      <c r="H55"/>
      <c r="I55"/>
      <c r="J55"/>
      <c r="K55"/>
      <c r="L55"/>
      <c r="M55" s="950"/>
    </row>
    <row r="56" spans="1:24" ht="15.75" customHeight="1">
      <c r="A56"/>
      <c r="B56" s="125"/>
      <c r="C56" t="s">
        <v>1220</v>
      </c>
      <c r="D56"/>
      <c r="E56"/>
      <c r="F56"/>
      <c r="G56"/>
      <c r="H56"/>
      <c r="I56"/>
      <c r="J56"/>
      <c r="K56"/>
      <c r="L56"/>
      <c r="M56" s="950"/>
    </row>
    <row r="57" spans="1:24" ht="15.75" customHeight="1">
      <c r="A57"/>
      <c r="B57" s="269" t="s">
        <v>1335</v>
      </c>
      <c r="C57" s="269" t="s">
        <v>1660</v>
      </c>
      <c r="D57" s="269" t="s">
        <v>1659</v>
      </c>
      <c r="E57" s="269" t="s">
        <v>1658</v>
      </c>
      <c r="F57" s="269" t="s">
        <v>1657</v>
      </c>
      <c r="G57" s="269" t="s">
        <v>1656</v>
      </c>
      <c r="H57" s="269" t="s">
        <v>1655</v>
      </c>
      <c r="I57"/>
      <c r="J57"/>
      <c r="K57"/>
      <c r="L57"/>
      <c r="M57" s="950"/>
    </row>
    <row r="58" spans="1:24" ht="15.75" customHeight="1">
      <c r="A58"/>
      <c r="B58" s="269">
        <v>0</v>
      </c>
      <c r="C58" s="462">
        <f ca="1">100*OFFSET($D$15,$B58,0)</f>
        <v>25</v>
      </c>
      <c r="D58" s="1065"/>
      <c r="E58" s="1065"/>
      <c r="F58" s="1065"/>
      <c r="G58" s="1065"/>
      <c r="H58" s="1065"/>
      <c r="I58"/>
      <c r="J58"/>
      <c r="K58"/>
      <c r="L58"/>
      <c r="M58" s="950"/>
    </row>
    <row r="59" spans="1:24" ht="15.75" customHeight="1">
      <c r="A59"/>
      <c r="B59" s="269">
        <v>1</v>
      </c>
      <c r="C59" s="462">
        <f ca="1">100*OFFSET($D$15,$B59,0)/(1+$D$22)^1</f>
        <v>28.571428571428569</v>
      </c>
      <c r="D59" s="462">
        <f ca="1">100*OFFSET($D$15,$B59,0)</f>
        <v>30</v>
      </c>
      <c r="E59" s="1065"/>
      <c r="F59" s="1065"/>
      <c r="G59" s="1065"/>
      <c r="H59" s="1065"/>
      <c r="I59"/>
      <c r="J59"/>
      <c r="K59"/>
      <c r="L59"/>
      <c r="M59" s="950"/>
    </row>
    <row r="60" spans="1:24">
      <c r="A60"/>
      <c r="B60" s="269">
        <v>2</v>
      </c>
      <c r="C60" s="462">
        <f ca="1">100*OFFSET($D$15,$B60,0)/(1+$D$22)^2</f>
        <v>18.140589569160998</v>
      </c>
      <c r="D60" s="462">
        <f ca="1">100*OFFSET($D$15,$B60,0)/(1+$D$22)^1</f>
        <v>19.047619047619047</v>
      </c>
      <c r="E60" s="462">
        <f ca="1">100*OFFSET($D$15,$B60,0)</f>
        <v>20</v>
      </c>
      <c r="F60" s="1065"/>
      <c r="G60" s="1065"/>
      <c r="H60" s="1065"/>
      <c r="I60"/>
      <c r="J60"/>
      <c r="K60"/>
      <c r="L60"/>
      <c r="M60" s="950"/>
    </row>
    <row r="61" spans="1:24">
      <c r="A61"/>
      <c r="B61" s="269">
        <v>3</v>
      </c>
      <c r="C61" s="462">
        <f ca="1">100*OFFSET($D$15,$B61,0)/(1+$D$22)^3</f>
        <v>8.6383759853147595</v>
      </c>
      <c r="D61" s="462">
        <f ca="1">100*OFFSET($D$15,$B61,0)/(1+$D$22)^2</f>
        <v>9.0702947845804989</v>
      </c>
      <c r="E61" s="462">
        <f ca="1">100*OFFSET($D$15,$B61,0)/(1+$D$22)^1</f>
        <v>9.5238095238095237</v>
      </c>
      <c r="F61" s="462">
        <f ca="1">100*OFFSET($D$15,$B61,0)</f>
        <v>10</v>
      </c>
      <c r="G61" s="1065"/>
      <c r="H61" s="1065"/>
      <c r="I61"/>
      <c r="J61"/>
      <c r="K61"/>
      <c r="L61"/>
      <c r="M61" s="950"/>
    </row>
    <row r="62" spans="1:24">
      <c r="A62"/>
      <c r="B62" s="269">
        <v>4</v>
      </c>
      <c r="C62" s="462">
        <f ca="1">100*OFFSET($D$15,$B62,0)/(1+$D$22)^4</f>
        <v>8.2270247479188203</v>
      </c>
      <c r="D62" s="462">
        <f ca="1">100*OFFSET($D$15,$B62,0)/(1+$D$22)^3</f>
        <v>8.6383759853147595</v>
      </c>
      <c r="E62" s="462">
        <f ca="1">100*OFFSET($D$15,$B62,0)/(1+$D$22)^2</f>
        <v>9.0702947845804989</v>
      </c>
      <c r="F62" s="462">
        <f ca="1">100*OFFSET($D$15,$B62,0)/(1+$D$22)^1</f>
        <v>9.5238095238095237</v>
      </c>
      <c r="G62" s="462">
        <f ca="1">100*OFFSET($D$15,$B62,0)</f>
        <v>10</v>
      </c>
      <c r="H62" s="1065"/>
      <c r="I62"/>
      <c r="J62"/>
      <c r="K62"/>
      <c r="L62"/>
      <c r="M62" s="950"/>
    </row>
    <row r="63" spans="1:24">
      <c r="A63"/>
      <c r="B63" s="269">
        <v>5</v>
      </c>
      <c r="C63" s="462">
        <f ca="1">100*OFFSET($D$15,$B63,0)/(1+$D$22)^5</f>
        <v>3.9176308323422946</v>
      </c>
      <c r="D63" s="462">
        <f ca="1">100*OFFSET($D$15,$B63,0)/(1+$D$22)^4</f>
        <v>4.1135123739594102</v>
      </c>
      <c r="E63" s="462">
        <f ca="1">100*OFFSET($D$15,$B63,0)/(1+$D$22)^3</f>
        <v>4.3191879926573797</v>
      </c>
      <c r="F63" s="462">
        <f ca="1">100*OFFSET($D$15,$B63,0)/(1+$D$22)^2</f>
        <v>4.5351473922902494</v>
      </c>
      <c r="G63" s="462">
        <f ca="1">100*OFFSET($D$15,$B63,0)/(1+$D$22)^1</f>
        <v>4.7619047619047619</v>
      </c>
      <c r="H63" s="462">
        <f ca="1">100*OFFSET($D$15,$B63,0)</f>
        <v>5</v>
      </c>
      <c r="I63"/>
      <c r="J63"/>
      <c r="K63"/>
      <c r="L63"/>
      <c r="M63" s="950"/>
    </row>
    <row r="64" spans="1:24">
      <c r="A64"/>
      <c r="B64" s="125"/>
      <c r="C64"/>
      <c r="D64"/>
      <c r="E64"/>
      <c r="F64"/>
      <c r="G64"/>
      <c r="H64"/>
      <c r="I64"/>
      <c r="J64"/>
      <c r="K64"/>
      <c r="L64"/>
      <c r="M64" s="950"/>
    </row>
    <row r="65" spans="1:13">
      <c r="A65"/>
      <c r="B65" s="125" t="s">
        <v>1187</v>
      </c>
      <c r="C65" s="1064">
        <f ca="1">SUM(D59:H63)/SUM(C58:C63)</f>
        <v>1.7039177412325908</v>
      </c>
      <c r="D65" s="1063"/>
      <c r="E65"/>
      <c r="F65"/>
      <c r="G65"/>
      <c r="H65"/>
      <c r="I65"/>
      <c r="J65"/>
      <c r="K65"/>
      <c r="L65"/>
      <c r="M65" s="950"/>
    </row>
    <row r="66" spans="1:13">
      <c r="A66"/>
      <c r="B66"/>
      <c r="C66"/>
      <c r="D66"/>
      <c r="E66"/>
      <c r="F66"/>
      <c r="G66"/>
      <c r="H66"/>
      <c r="I66"/>
      <c r="J66"/>
      <c r="K66"/>
      <c r="L66"/>
      <c r="M66" s="950"/>
    </row>
    <row r="67" spans="1:13">
      <c r="A67" s="950"/>
      <c r="B67" s="950"/>
      <c r="C67" s="950"/>
      <c r="D67" s="950"/>
      <c r="E67" s="950"/>
      <c r="F67" s="950"/>
      <c r="G67" s="950"/>
      <c r="H67" s="950"/>
      <c r="I67" s="950"/>
      <c r="J67" s="950"/>
      <c r="K67" s="950"/>
      <c r="L67" s="950"/>
      <c r="M67" s="950"/>
    </row>
    <row r="68" spans="1:13">
      <c r="A68" s="950"/>
      <c r="B68" s="950"/>
      <c r="C68" s="950"/>
      <c r="D68" s="950"/>
      <c r="E68" s="950"/>
      <c r="F68" s="950"/>
      <c r="G68" s="950"/>
      <c r="H68" s="950"/>
      <c r="I68" s="950"/>
      <c r="J68" s="950"/>
      <c r="K68" s="950"/>
      <c r="L68" s="950"/>
      <c r="M68" s="950"/>
    </row>
    <row r="69" spans="1:13">
      <c r="A69" s="950"/>
      <c r="B69" s="950"/>
      <c r="C69" s="950"/>
      <c r="D69" s="950"/>
      <c r="E69" s="950"/>
      <c r="F69" s="950"/>
      <c r="G69" s="950"/>
      <c r="H69" s="950"/>
      <c r="I69" s="950"/>
      <c r="J69" s="950"/>
      <c r="K69" s="950"/>
      <c r="L69" s="950"/>
      <c r="M69" s="950"/>
    </row>
    <row r="70" spans="1:13">
      <c r="A70" s="950"/>
      <c r="B70" s="950"/>
      <c r="C70" s="950"/>
      <c r="D70" s="950"/>
      <c r="E70" s="950"/>
      <c r="F70" s="950"/>
      <c r="G70" s="950"/>
      <c r="H70" s="950"/>
      <c r="I70" s="950"/>
      <c r="J70" s="950"/>
      <c r="K70" s="950"/>
      <c r="L70" s="950"/>
      <c r="M70" s="950"/>
    </row>
    <row r="71" spans="1:13">
      <c r="A71" s="950"/>
      <c r="B71" s="950"/>
      <c r="C71" s="950"/>
      <c r="D71" s="950"/>
      <c r="E71" s="950"/>
      <c r="F71" s="950"/>
      <c r="G71" s="950"/>
      <c r="H71" s="950"/>
      <c r="I71" s="950"/>
      <c r="J71" s="950"/>
      <c r="K71" s="950"/>
      <c r="L71" s="950"/>
      <c r="M71" s="950"/>
    </row>
    <row r="72" spans="1:13">
      <c r="A72" s="950"/>
      <c r="B72" s="950"/>
      <c r="C72" s="950"/>
      <c r="D72" s="950"/>
      <c r="E72" s="950"/>
      <c r="F72" s="950"/>
      <c r="G72" s="950"/>
      <c r="H72" s="950"/>
      <c r="I72" s="950"/>
      <c r="J72" s="950"/>
      <c r="K72" s="950"/>
      <c r="L72" s="950"/>
      <c r="M72" s="950"/>
    </row>
    <row r="73" spans="1:13">
      <c r="A73" s="950"/>
      <c r="B73" s="950"/>
      <c r="C73" s="950"/>
      <c r="D73" s="950"/>
      <c r="E73" s="950"/>
      <c r="F73" s="950"/>
      <c r="G73" s="950"/>
      <c r="H73" s="950"/>
      <c r="I73" s="950"/>
      <c r="J73" s="950"/>
      <c r="K73" s="950"/>
      <c r="L73" s="950"/>
      <c r="M73" s="950"/>
    </row>
    <row r="74" spans="1:13">
      <c r="A74" s="950"/>
      <c r="B74" s="950"/>
      <c r="C74" s="950"/>
      <c r="D74" s="950"/>
      <c r="E74" s="950"/>
      <c r="F74" s="950"/>
      <c r="G74" s="950"/>
      <c r="H74" s="950"/>
      <c r="I74" s="950"/>
      <c r="J74" s="950"/>
      <c r="K74" s="950"/>
      <c r="L74" s="950"/>
      <c r="M74" s="950"/>
    </row>
    <row r="75" spans="1:13">
      <c r="A75" s="950"/>
      <c r="B75" s="950"/>
      <c r="C75" s="950"/>
      <c r="D75" s="950"/>
      <c r="E75" s="950"/>
      <c r="F75" s="950"/>
      <c r="G75" s="950"/>
      <c r="H75" s="950"/>
      <c r="I75" s="950"/>
      <c r="J75" s="950"/>
      <c r="K75" s="950"/>
      <c r="L75" s="950"/>
      <c r="M75" s="950"/>
    </row>
  </sheetData>
  <mergeCells count="10">
    <mergeCell ref="A18:C18"/>
    <mergeCell ref="A19:C19"/>
    <mergeCell ref="A20:C20"/>
    <mergeCell ref="B24:L24"/>
    <mergeCell ref="A4:L4"/>
    <mergeCell ref="B6:L6"/>
    <mergeCell ref="A14:C14"/>
    <mergeCell ref="A15:C15"/>
    <mergeCell ref="A16:C16"/>
    <mergeCell ref="A17:C17"/>
  </mergeCells>
  <pageMargins left="0.7" right="0.7" top="0.75" bottom="0.75" header="0.3" footer="0.3"/>
  <pageSetup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4618-698E-4876-A60D-1010C3EBFB4F}">
  <dimension ref="A1:Y83"/>
  <sheetViews>
    <sheetView zoomScaleNormal="100" workbookViewId="0"/>
  </sheetViews>
  <sheetFormatPr defaultColWidth="9.109375" defaultRowHeight="15.6"/>
  <cols>
    <col min="1" max="1" width="8.109375" style="1" customWidth="1"/>
    <col min="2" max="2" width="16.44140625" style="1" customWidth="1"/>
    <col min="3" max="7" width="14.6640625" style="1" customWidth="1"/>
    <col min="8" max="9" width="9.109375" style="1"/>
    <col min="10" max="10" width="10.44140625" style="1" bestFit="1" customWidth="1"/>
    <col min="11" max="11" width="10.44140625" style="1" customWidth="1"/>
    <col min="12" max="13" width="9.109375" style="1"/>
    <col min="14" max="14" width="8.88671875" style="57" bestFit="1" customWidth="1"/>
    <col min="15" max="25" width="9.109375" style="57"/>
    <col min="26" max="16384" width="9.109375" style="1"/>
  </cols>
  <sheetData>
    <row r="1" spans="1:13" ht="15.75" customHeight="1">
      <c r="A1" s="23" t="s">
        <v>1705</v>
      </c>
      <c r="B1" s="22"/>
      <c r="C1" s="5" t="s">
        <v>38</v>
      </c>
      <c r="D1" s="22"/>
      <c r="E1" s="22"/>
      <c r="F1" s="22"/>
      <c r="G1" s="22"/>
      <c r="H1" s="22"/>
      <c r="I1" s="22"/>
      <c r="J1" s="22"/>
      <c r="K1" s="22"/>
      <c r="L1" s="22"/>
      <c r="M1" s="2"/>
    </row>
    <row r="2" spans="1:13" ht="15.75" customHeight="1">
      <c r="A2" s="21"/>
      <c r="B2" s="21"/>
      <c r="C2" s="160" t="s">
        <v>1682</v>
      </c>
      <c r="D2" s="137"/>
      <c r="E2" s="137"/>
      <c r="F2" s="137"/>
      <c r="G2" s="137"/>
      <c r="H2" s="137"/>
      <c r="I2" s="1062"/>
      <c r="J2" s="159"/>
      <c r="K2" s="159"/>
      <c r="L2" s="159"/>
      <c r="M2" s="159"/>
    </row>
    <row r="3" spans="1:13" ht="15.75" customHeight="1">
      <c r="A3" s="21"/>
      <c r="B3" s="21"/>
      <c r="C3" s="21"/>
      <c r="D3" s="21"/>
      <c r="E3" s="21"/>
      <c r="F3" s="21"/>
      <c r="G3" s="21"/>
      <c r="H3" s="21"/>
      <c r="I3" s="21"/>
      <c r="J3" s="21"/>
      <c r="K3" s="21"/>
      <c r="L3" s="21"/>
      <c r="M3" s="2"/>
    </row>
    <row r="4" spans="1:13" ht="31.2" customHeight="1">
      <c r="A4" s="1655" t="s">
        <v>1704</v>
      </c>
      <c r="B4" s="1655"/>
      <c r="C4" s="1655"/>
      <c r="D4" s="1655"/>
      <c r="E4" s="1655"/>
      <c r="F4" s="1655"/>
      <c r="G4" s="1655"/>
      <c r="H4" s="1655"/>
      <c r="I4" s="1655"/>
      <c r="J4" s="1655"/>
      <c r="K4" s="1655"/>
      <c r="L4" s="1655"/>
      <c r="M4" s="1655"/>
    </row>
    <row r="5" spans="1:13" s="57" customFormat="1">
      <c r="A5" s="21"/>
      <c r="B5" s="136"/>
      <c r="C5" s="136"/>
      <c r="D5" s="136"/>
      <c r="E5" s="136"/>
      <c r="F5" s="136"/>
      <c r="G5" s="136"/>
      <c r="H5" s="136"/>
      <c r="I5" s="136"/>
      <c r="J5" s="136"/>
      <c r="K5" s="136"/>
      <c r="L5" s="136"/>
      <c r="M5" s="136"/>
    </row>
    <row r="6" spans="1:13" s="57" customFormat="1" ht="31.2" customHeight="1">
      <c r="A6" s="21"/>
      <c r="B6" s="1671" t="s">
        <v>1703</v>
      </c>
      <c r="C6" s="1671"/>
      <c r="D6" s="1872" t="s">
        <v>1428</v>
      </c>
      <c r="E6" s="1872" t="s">
        <v>1702</v>
      </c>
      <c r="F6" s="1872" t="s">
        <v>1701</v>
      </c>
      <c r="G6" s="136"/>
      <c r="H6" s="136"/>
      <c r="I6" s="136"/>
      <c r="J6" s="136"/>
      <c r="K6" s="136"/>
      <c r="L6" s="136"/>
      <c r="M6" s="136"/>
    </row>
    <row r="7" spans="1:13" s="57" customFormat="1">
      <c r="A7" s="21"/>
      <c r="B7" s="83" t="s">
        <v>279</v>
      </c>
      <c r="C7" s="83" t="s">
        <v>278</v>
      </c>
      <c r="D7" s="1872"/>
      <c r="E7" s="1872"/>
      <c r="F7" s="1872"/>
      <c r="G7" s="136"/>
      <c r="H7" s="136"/>
      <c r="I7" s="136"/>
      <c r="J7" s="136"/>
      <c r="K7" s="136"/>
      <c r="L7" s="136"/>
      <c r="M7" s="136"/>
    </row>
    <row r="8" spans="1:13" s="57" customFormat="1">
      <c r="A8" s="21"/>
      <c r="B8" s="1087">
        <v>0</v>
      </c>
      <c r="C8" s="1087">
        <v>500</v>
      </c>
      <c r="D8" s="1088">
        <v>2881</v>
      </c>
      <c r="E8" s="1086">
        <v>235817</v>
      </c>
      <c r="F8" s="1085">
        <v>0.20200000000000001</v>
      </c>
      <c r="G8" s="136"/>
      <c r="H8" s="136"/>
      <c r="I8" s="136"/>
      <c r="J8" s="136"/>
      <c r="K8" s="136"/>
      <c r="L8" s="136"/>
      <c r="M8" s="136"/>
    </row>
    <row r="9" spans="1:13" s="57" customFormat="1">
      <c r="A9" s="21"/>
      <c r="B9" s="1087">
        <v>501</v>
      </c>
      <c r="C9" s="1088">
        <v>1000</v>
      </c>
      <c r="D9" s="1087">
        <v>384</v>
      </c>
      <c r="E9" s="1086">
        <v>715448</v>
      </c>
      <c r="F9" s="1085">
        <v>0.153</v>
      </c>
      <c r="G9" s="136"/>
      <c r="H9" s="136"/>
      <c r="I9" s="136"/>
      <c r="J9" s="136"/>
      <c r="K9" s="136"/>
      <c r="L9" s="136"/>
      <c r="M9" s="136"/>
    </row>
    <row r="10" spans="1:13" s="57" customFormat="1">
      <c r="A10" s="21"/>
      <c r="B10" s="1088">
        <v>1001</v>
      </c>
      <c r="C10" s="1088">
        <v>1500</v>
      </c>
      <c r="D10" s="1087">
        <v>124</v>
      </c>
      <c r="E10" s="1086">
        <v>1232765</v>
      </c>
      <c r="F10" s="1085">
        <v>0.16500000000000001</v>
      </c>
      <c r="G10" s="136"/>
      <c r="H10" s="136"/>
      <c r="I10" s="136"/>
      <c r="J10" s="136"/>
      <c r="K10" s="136"/>
      <c r="L10" s="136"/>
      <c r="M10" s="136"/>
    </row>
    <row r="11" spans="1:13" s="57" customFormat="1">
      <c r="A11" s="21"/>
      <c r="B11" s="1088">
        <v>1501</v>
      </c>
      <c r="C11" s="1088">
        <v>2500</v>
      </c>
      <c r="D11" s="1087">
        <v>77</v>
      </c>
      <c r="E11" s="1086">
        <v>1960198</v>
      </c>
      <c r="F11" s="1085">
        <v>0.14000000000000001</v>
      </c>
      <c r="G11" s="136"/>
      <c r="H11" s="136"/>
      <c r="I11" s="136"/>
      <c r="J11" s="136"/>
      <c r="K11" s="136"/>
      <c r="L11" s="136"/>
      <c r="M11" s="136"/>
    </row>
    <row r="12" spans="1:13" s="57" customFormat="1">
      <c r="A12" s="21"/>
      <c r="B12" s="1088">
        <v>2501</v>
      </c>
      <c r="C12" s="1088">
        <v>3500</v>
      </c>
      <c r="D12" s="1087">
        <v>22</v>
      </c>
      <c r="E12" s="1086">
        <v>2825640</v>
      </c>
      <c r="F12" s="1085">
        <v>9.5000000000000001E-2</v>
      </c>
      <c r="G12" s="136"/>
      <c r="H12" s="136"/>
      <c r="I12" s="136"/>
      <c r="J12" s="136"/>
      <c r="K12" s="136"/>
      <c r="L12" s="136"/>
      <c r="M12" s="136"/>
    </row>
    <row r="13" spans="1:13" s="57" customFormat="1">
      <c r="A13" s="21"/>
      <c r="B13" s="1088">
        <v>3501</v>
      </c>
      <c r="C13" s="1088">
        <v>5000</v>
      </c>
      <c r="D13" s="1087">
        <v>41</v>
      </c>
      <c r="E13" s="1086">
        <v>4243226</v>
      </c>
      <c r="F13" s="1085">
        <v>7.3999999999999996E-2</v>
      </c>
      <c r="G13" s="136"/>
      <c r="H13" s="136"/>
      <c r="I13" s="136"/>
      <c r="J13" s="136"/>
      <c r="K13" s="136"/>
      <c r="L13" s="136"/>
      <c r="M13" s="136"/>
    </row>
    <row r="14" spans="1:13" s="57" customFormat="1">
      <c r="A14" s="21"/>
      <c r="B14" s="136"/>
      <c r="C14" s="136"/>
      <c r="D14" s="136"/>
      <c r="E14" s="136"/>
      <c r="F14" s="136"/>
      <c r="G14" s="136"/>
      <c r="H14" s="136"/>
      <c r="I14" s="136"/>
      <c r="J14" s="136"/>
      <c r="K14" s="136"/>
      <c r="L14" s="136"/>
      <c r="M14" s="136"/>
    </row>
    <row r="15" spans="1:13" s="57" customFormat="1">
      <c r="A15" s="484" t="s">
        <v>1700</v>
      </c>
      <c r="B15" s="136"/>
      <c r="C15" s="136"/>
      <c r="D15" s="136"/>
      <c r="E15" s="136"/>
      <c r="F15" s="136"/>
      <c r="G15" s="136"/>
      <c r="H15" s="136"/>
      <c r="I15" s="136"/>
      <c r="J15" s="136"/>
      <c r="K15" s="136"/>
      <c r="L15" s="136"/>
      <c r="M15" s="136"/>
    </row>
    <row r="16" spans="1:13" s="57" customFormat="1">
      <c r="A16" s="484" t="s">
        <v>1699</v>
      </c>
      <c r="B16" s="47"/>
      <c r="C16" s="136"/>
      <c r="D16" s="136"/>
      <c r="E16" s="136"/>
      <c r="F16" s="136"/>
      <c r="G16" s="136"/>
      <c r="H16" s="136"/>
      <c r="I16" s="136"/>
      <c r="J16" s="136"/>
      <c r="K16" s="136"/>
      <c r="L16" s="136"/>
      <c r="M16" s="136"/>
    </row>
    <row r="17" spans="1:13" s="57" customFormat="1">
      <c r="A17" s="484" t="s">
        <v>1698</v>
      </c>
      <c r="B17" s="136"/>
      <c r="C17" s="136"/>
      <c r="D17" s="136"/>
      <c r="E17" s="136"/>
      <c r="F17" s="136"/>
      <c r="G17" s="136"/>
      <c r="H17" s="136"/>
      <c r="I17" s="136"/>
      <c r="J17" s="136"/>
      <c r="K17" s="136"/>
      <c r="L17" s="136"/>
      <c r="M17" s="136"/>
    </row>
    <row r="18" spans="1:13" s="57" customFormat="1">
      <c r="A18" s="21"/>
      <c r="B18" s="21"/>
      <c r="C18" s="21"/>
      <c r="D18" s="21"/>
      <c r="E18" s="21"/>
      <c r="F18" s="21"/>
      <c r="G18" s="21"/>
      <c r="H18" s="21"/>
      <c r="I18" s="21"/>
      <c r="J18" s="21"/>
      <c r="K18" s="21"/>
      <c r="L18" s="21"/>
      <c r="M18" s="2"/>
    </row>
    <row r="19" spans="1:13" s="57" customFormat="1">
      <c r="A19" s="214" t="s">
        <v>80</v>
      </c>
      <c r="B19" s="1655" t="s">
        <v>1697</v>
      </c>
      <c r="C19" s="1655"/>
      <c r="D19" s="1655"/>
      <c r="E19" s="1655"/>
      <c r="F19" s="1655"/>
      <c r="G19" s="1655"/>
      <c r="H19" s="1655"/>
      <c r="I19" s="1655"/>
      <c r="J19" s="1655"/>
      <c r="K19" s="1655"/>
      <c r="L19" s="1655"/>
      <c r="M19" s="1655"/>
    </row>
    <row r="20" spans="1:13" s="57" customFormat="1" ht="16.2">
      <c r="A20" s="21"/>
      <c r="B20" s="160" t="s">
        <v>185</v>
      </c>
      <c r="C20" s="159"/>
      <c r="D20" s="159"/>
      <c r="E20" s="159"/>
      <c r="F20" s="159"/>
      <c r="G20" s="159"/>
      <c r="H20" s="159"/>
      <c r="I20" s="159"/>
      <c r="J20" s="1050"/>
      <c r="K20" s="1050"/>
      <c r="L20" s="1050"/>
      <c r="M20" s="135"/>
    </row>
    <row r="21" spans="1:13" s="57" customFormat="1" ht="15.6" customHeight="1">
      <c r="A21" s="21"/>
      <c r="B21" s="21"/>
      <c r="C21" s="21"/>
      <c r="D21" s="21"/>
      <c r="E21" s="21"/>
      <c r="F21" s="21"/>
      <c r="G21" s="21"/>
      <c r="H21" s="21"/>
      <c r="I21" s="136"/>
      <c r="J21" s="3"/>
      <c r="K21" s="3"/>
      <c r="L21" s="3"/>
      <c r="M21" s="2"/>
    </row>
    <row r="22" spans="1:13" s="57" customFormat="1">
      <c r="A22" s="214" t="s">
        <v>9</v>
      </c>
      <c r="B22" s="1655" t="s">
        <v>1696</v>
      </c>
      <c r="C22" s="1655"/>
      <c r="D22" s="1655"/>
      <c r="E22" s="1655"/>
      <c r="F22" s="1655"/>
      <c r="G22" s="1655"/>
      <c r="H22" s="1655"/>
      <c r="I22" s="1655"/>
      <c r="J22" s="1655"/>
      <c r="K22" s="1655"/>
      <c r="L22" s="1655"/>
      <c r="M22" s="1655"/>
    </row>
    <row r="23" spans="1:13" s="57" customFormat="1">
      <c r="A23" s="1084"/>
      <c r="B23" s="47" t="s">
        <v>1695</v>
      </c>
      <c r="C23" s="45"/>
      <c r="D23" s="45"/>
      <c r="E23" s="45"/>
      <c r="F23" s="45"/>
      <c r="G23" s="45"/>
      <c r="H23" s="45"/>
      <c r="I23" s="45"/>
      <c r="J23" s="45"/>
      <c r="K23" s="45"/>
      <c r="L23" s="45"/>
      <c r="M23" s="45"/>
    </row>
    <row r="24" spans="1:13" s="57" customFormat="1">
      <c r="A24" s="214"/>
      <c r="B24" s="47" t="s">
        <v>1694</v>
      </c>
      <c r="C24" s="45"/>
      <c r="D24" s="45"/>
      <c r="E24" s="45"/>
      <c r="F24" s="45"/>
      <c r="G24" s="45"/>
      <c r="H24" s="45"/>
      <c r="I24" s="45"/>
      <c r="J24" s="45"/>
      <c r="K24" s="45"/>
      <c r="L24" s="45"/>
      <c r="M24" s="45"/>
    </row>
    <row r="25" spans="1:13" s="57" customFormat="1">
      <c r="A25" s="214"/>
      <c r="B25" s="47" t="s">
        <v>1693</v>
      </c>
      <c r="C25" s="45"/>
      <c r="D25" s="45"/>
      <c r="E25" s="45"/>
      <c r="F25" s="45"/>
      <c r="G25" s="45"/>
      <c r="H25" s="45"/>
      <c r="I25" s="45"/>
      <c r="J25" s="45"/>
      <c r="K25" s="45"/>
      <c r="L25" s="45"/>
      <c r="M25" s="45"/>
    </row>
    <row r="26" spans="1:13" s="57" customFormat="1">
      <c r="A26" s="214"/>
      <c r="B26" s="47" t="s">
        <v>1692</v>
      </c>
      <c r="C26" s="45"/>
      <c r="D26" s="45"/>
      <c r="E26" s="45"/>
      <c r="F26" s="45"/>
      <c r="G26" s="45"/>
      <c r="H26" s="45"/>
      <c r="I26" s="45"/>
      <c r="J26" s="45"/>
      <c r="K26" s="45"/>
      <c r="L26" s="45"/>
      <c r="M26" s="45"/>
    </row>
    <row r="27" spans="1:13" s="57" customFormat="1" ht="16.2">
      <c r="A27" s="5"/>
      <c r="B27" s="5" t="s">
        <v>64</v>
      </c>
      <c r="C27" s="5"/>
      <c r="D27" s="4"/>
      <c r="E27" s="4"/>
      <c r="F27" s="4"/>
      <c r="G27" s="4"/>
      <c r="H27" s="3"/>
      <c r="I27" s="3"/>
      <c r="J27" s="2"/>
      <c r="K27" s="2"/>
      <c r="L27" s="3"/>
      <c r="M27" s="2"/>
    </row>
    <row r="28" spans="1:13" s="57" customFormat="1">
      <c r="A28" s="1"/>
      <c r="B28" s="1"/>
      <c r="C28" s="1063"/>
      <c r="D28" s="1051"/>
      <c r="E28" s="1063"/>
      <c r="F28" s="1063"/>
      <c r="G28" s="1063"/>
      <c r="H28" s="1063"/>
      <c r="I28" s="1"/>
      <c r="J28" s="1"/>
      <c r="K28" s="1"/>
      <c r="L28" s="1"/>
      <c r="M28" s="1"/>
    </row>
    <row r="29" spans="1:13" s="57" customFormat="1">
      <c r="A29" s="1"/>
      <c r="B29" s="36" t="s">
        <v>1684</v>
      </c>
      <c r="C29" s="1083" t="s">
        <v>589</v>
      </c>
      <c r="D29" s="1081" t="s">
        <v>937</v>
      </c>
      <c r="E29" s="1081" t="s">
        <v>1142</v>
      </c>
      <c r="F29" s="1081" t="s">
        <v>1691</v>
      </c>
      <c r="G29" s="1081" t="s">
        <v>1690</v>
      </c>
      <c r="H29" s="1081" t="s">
        <v>1689</v>
      </c>
      <c r="J29" s="474"/>
      <c r="K29" s="474"/>
      <c r="L29" s="474"/>
      <c r="M29" s="474"/>
    </row>
    <row r="30" spans="1:13" s="57" customFormat="1">
      <c r="A30" s="1"/>
      <c r="B30" s="1073">
        <f>C9*1000</f>
        <v>1000000</v>
      </c>
      <c r="C30" s="1072">
        <f>H30/H$30</f>
        <v>1</v>
      </c>
      <c r="D30" s="1081">
        <f>SUM(D8:D9)</f>
        <v>3265</v>
      </c>
      <c r="E30" s="1081">
        <f>D8*E8*(1+F8)+D9*E9*(1+F9)</f>
        <v>1133391342.8499999</v>
      </c>
      <c r="F30" s="1081">
        <f>E30</f>
        <v>1133391342.8499999</v>
      </c>
      <c r="G30" s="1081" cm="1">
        <f t="array" ref="G30">F30+SUM(D31:D$34)*B30+SUMPRODUCT(D10:D$13*E10:E$13*F10:F$13)</f>
        <v>1462524184.474</v>
      </c>
      <c r="H30" s="1081">
        <f>G30/$D$35</f>
        <v>414430.20245792007</v>
      </c>
      <c r="J30" s="474"/>
      <c r="K30" s="474"/>
      <c r="L30" s="474"/>
      <c r="M30" s="474"/>
    </row>
    <row r="31" spans="1:13" s="57" customFormat="1">
      <c r="A31" s="1"/>
      <c r="B31" s="1073">
        <f>C10*1000</f>
        <v>1500000</v>
      </c>
      <c r="C31" s="1072">
        <f>H31/H$30</f>
        <v>1.0675974189346866</v>
      </c>
      <c r="D31" s="1081">
        <f>D10</f>
        <v>124</v>
      </c>
      <c r="E31" s="1081">
        <f>D10*E10*(1+F10)</f>
        <v>178085231.90000001</v>
      </c>
      <c r="F31" s="1081">
        <f>E31+F30</f>
        <v>1311476574.75</v>
      </c>
      <c r="G31" s="1081" cm="1">
        <f t="array" ref="G31">F31+SUM(D32:D$34)*B31+SUMPRODUCT(D11:D$13*E11:E$13*F11:F$13)</f>
        <v>1561387044.474</v>
      </c>
      <c r="H31" s="1081">
        <f>G31/$D$35</f>
        <v>442444.61447265511</v>
      </c>
      <c r="J31" s="474"/>
      <c r="K31" s="474"/>
      <c r="L31" s="474"/>
      <c r="M31" s="474"/>
    </row>
    <row r="32" spans="1:13" s="57" customFormat="1">
      <c r="A32" s="1"/>
      <c r="B32" s="1073">
        <f>C11*1000</f>
        <v>2500000</v>
      </c>
      <c r="C32" s="1072">
        <f>H32/H$30</f>
        <v>1.1349024570632718</v>
      </c>
      <c r="D32" s="1081">
        <f>D11</f>
        <v>77</v>
      </c>
      <c r="E32" s="1081">
        <f>D11*E11*(1+F11)</f>
        <v>172066180.44000003</v>
      </c>
      <c r="F32" s="1081">
        <f>E32+F31</f>
        <v>1483542755.1900001</v>
      </c>
      <c r="G32" s="1081" cm="1">
        <f t="array" ref="G32">F32+SUM(D33:D$34)*B32+SUMPRODUCT(D12:D$13*E12:E$13*F12:F$13)</f>
        <v>1659822290.474</v>
      </c>
      <c r="H32" s="1081">
        <f>G32/$D$35</f>
        <v>470337.8550507226</v>
      </c>
      <c r="J32" s="474"/>
      <c r="K32" s="474"/>
      <c r="L32" s="474"/>
      <c r="M32" s="474"/>
    </row>
    <row r="33" spans="1:25" s="57" customFormat="1">
      <c r="A33" s="1"/>
      <c r="B33" s="1073">
        <f>C12*1000</f>
        <v>3500000</v>
      </c>
      <c r="C33" s="1072">
        <f>H33/H$30</f>
        <v>1.1678346167576579</v>
      </c>
      <c r="D33" s="1081">
        <f>D12</f>
        <v>22</v>
      </c>
      <c r="E33" s="1081">
        <f>D12*E12*(1+F12)</f>
        <v>68069667.599999994</v>
      </c>
      <c r="F33" s="1081">
        <f>E33+F32</f>
        <v>1551612422.79</v>
      </c>
      <c r="G33" s="1081" cm="1">
        <f t="array" ref="G33">F33+SUM(D34:D$34)*B33+SUMPRODUCT(D13:D$13*E13:E$13*F13:F$13)</f>
        <v>1707986370.474</v>
      </c>
      <c r="H33" s="1081">
        <f>G33/$D$35</f>
        <v>483985.93666024366</v>
      </c>
      <c r="J33" s="474"/>
      <c r="K33" s="474"/>
      <c r="L33" s="474"/>
      <c r="M33" s="474"/>
    </row>
    <row r="34" spans="1:25" s="57" customFormat="1">
      <c r="A34" s="1"/>
      <c r="B34" s="1073">
        <f>C13*1000</f>
        <v>5000000</v>
      </c>
      <c r="C34" s="1072">
        <f>H34/H$30</f>
        <v>1.1886700096513212</v>
      </c>
      <c r="D34" s="1081">
        <f>D13</f>
        <v>41</v>
      </c>
      <c r="E34" s="1081">
        <f>D13*E13*(1+F13)</f>
        <v>186846213.68400002</v>
      </c>
      <c r="F34" s="1081">
        <f>E34+F33</f>
        <v>1738458636.474</v>
      </c>
      <c r="G34" s="1081">
        <f>F34</f>
        <v>1738458636.474</v>
      </c>
      <c r="H34" s="1081">
        <f>G34/$D$35</f>
        <v>492620.7527554548</v>
      </c>
      <c r="J34" s="474"/>
      <c r="K34" s="474"/>
      <c r="L34" s="474"/>
      <c r="M34" s="474"/>
    </row>
    <row r="35" spans="1:25" s="57" customFormat="1">
      <c r="A35" s="1"/>
      <c r="B35" s="1"/>
      <c r="C35" s="1"/>
      <c r="D35" s="1081">
        <f>SUM(D30:D34)</f>
        <v>3529</v>
      </c>
      <c r="E35"/>
      <c r="F35"/>
      <c r="G35"/>
      <c r="H35"/>
      <c r="I35" s="1"/>
      <c r="J35" s="1"/>
      <c r="K35" s="1"/>
      <c r="L35" s="1"/>
      <c r="M35" s="1"/>
    </row>
    <row r="36" spans="1:25" s="57" customFormat="1">
      <c r="A36" s="1"/>
      <c r="B36" s="1"/>
      <c r="C36" s="1"/>
      <c r="D36" s="1"/>
      <c r="E36" s="1"/>
      <c r="F36" s="1"/>
      <c r="G36" s="1"/>
      <c r="H36" s="1"/>
      <c r="I36" s="1"/>
      <c r="J36" s="1"/>
      <c r="K36" s="1"/>
      <c r="L36" s="1"/>
      <c r="M36" s="1"/>
    </row>
    <row r="37" spans="1:25">
      <c r="A37" s="214" t="s">
        <v>7</v>
      </c>
      <c r="B37" s="1655" t="s">
        <v>1688</v>
      </c>
      <c r="C37" s="1655"/>
      <c r="D37" s="1655"/>
      <c r="E37" s="1655"/>
      <c r="F37" s="1655"/>
      <c r="G37" s="1655"/>
      <c r="H37" s="1655"/>
      <c r="I37" s="1655"/>
      <c r="J37" s="1655"/>
      <c r="K37" s="1655"/>
      <c r="L37" s="1655"/>
      <c r="M37" s="1655"/>
    </row>
    <row r="38" spans="1:25" ht="16.2">
      <c r="A38" s="5"/>
      <c r="B38" s="5" t="s">
        <v>64</v>
      </c>
      <c r="C38" s="5"/>
      <c r="D38" s="4"/>
      <c r="E38" s="4"/>
      <c r="F38" s="4"/>
      <c r="G38" s="4"/>
      <c r="H38" s="3"/>
      <c r="I38" s="3"/>
      <c r="J38" s="2"/>
      <c r="K38" s="2"/>
      <c r="L38" s="3"/>
      <c r="M38" s="2"/>
    </row>
    <row r="39" spans="1:25">
      <c r="C39" s="1077"/>
      <c r="D39" s="1051"/>
      <c r="E39" s="1051"/>
      <c r="F39" s="1077"/>
      <c r="N39" s="1"/>
      <c r="O39" s="1"/>
      <c r="P39" s="1"/>
      <c r="Q39" s="1"/>
      <c r="R39" s="1"/>
      <c r="S39" s="1"/>
      <c r="T39" s="1"/>
      <c r="U39" s="1"/>
      <c r="V39" s="1"/>
      <c r="W39" s="1"/>
      <c r="X39" s="1"/>
      <c r="Y39" s="1"/>
    </row>
    <row r="40" spans="1:25">
      <c r="B40" s="36" t="s">
        <v>1684</v>
      </c>
      <c r="C40" s="1083" t="s">
        <v>589</v>
      </c>
      <c r="D40" s="1070" t="s">
        <v>1259</v>
      </c>
      <c r="E40" s="1070"/>
      <c r="F40" s="604"/>
      <c r="N40" s="1"/>
      <c r="O40" s="1"/>
      <c r="P40" s="1"/>
      <c r="Q40" s="1"/>
      <c r="R40" s="1"/>
      <c r="S40" s="1"/>
      <c r="T40" s="1"/>
      <c r="U40" s="1"/>
      <c r="V40" s="1"/>
      <c r="W40" s="1"/>
      <c r="X40" s="1"/>
      <c r="Y40" s="1"/>
    </row>
    <row r="41" spans="1:25">
      <c r="B41" s="1073">
        <f t="shared" ref="B41:C45" si="0">B30</f>
        <v>1000000</v>
      </c>
      <c r="C41" s="1082">
        <f t="shared" si="0"/>
        <v>1</v>
      </c>
      <c r="D41" s="1070"/>
      <c r="E41" s="1070"/>
      <c r="F41" s="604"/>
      <c r="N41" s="1"/>
      <c r="O41" s="1"/>
      <c r="P41" s="1"/>
      <c r="Q41" s="1"/>
      <c r="R41" s="1"/>
      <c r="S41" s="1"/>
      <c r="T41" s="1"/>
      <c r="U41" s="1"/>
      <c r="V41" s="1"/>
      <c r="W41" s="1"/>
      <c r="X41" s="1"/>
      <c r="Y41" s="1"/>
    </row>
    <row r="42" spans="1:25">
      <c r="B42" s="1073">
        <f t="shared" si="0"/>
        <v>1500000</v>
      </c>
      <c r="C42" s="1082">
        <f t="shared" si="0"/>
        <v>1.0675974189346866</v>
      </c>
      <c r="D42" s="1071">
        <f>1000000*(C42-C41)/(B42-B41)</f>
        <v>0.13519483786937328</v>
      </c>
      <c r="E42" s="1070"/>
      <c r="F42" s="604"/>
      <c r="N42" s="1"/>
      <c r="O42" s="1"/>
      <c r="P42" s="1"/>
      <c r="Q42" s="1"/>
      <c r="R42" s="1"/>
      <c r="S42" s="1"/>
      <c r="T42" s="1"/>
      <c r="U42" s="1"/>
      <c r="V42" s="1"/>
      <c r="W42" s="1"/>
      <c r="X42" s="1"/>
      <c r="Y42" s="1"/>
    </row>
    <row r="43" spans="1:25">
      <c r="B43" s="1073">
        <f t="shared" si="0"/>
        <v>2500000</v>
      </c>
      <c r="C43" s="1082">
        <f t="shared" si="0"/>
        <v>1.1349024570632718</v>
      </c>
      <c r="D43" s="1071">
        <f>1000000*(C43-C42)/(B43-B42)</f>
        <v>6.7305038128585126E-2</v>
      </c>
      <c r="E43" s="1070" t="b">
        <f>D43&lt;D42</f>
        <v>1</v>
      </c>
      <c r="F43" s="604"/>
      <c r="N43" s="1"/>
      <c r="O43" s="1"/>
      <c r="P43" s="1"/>
      <c r="Q43" s="1"/>
      <c r="R43" s="1"/>
      <c r="S43" s="1"/>
      <c r="T43" s="1"/>
      <c r="U43" s="1"/>
      <c r="V43" s="1"/>
      <c r="W43" s="1"/>
      <c r="X43" s="1"/>
      <c r="Y43" s="1"/>
    </row>
    <row r="44" spans="1:25">
      <c r="B44" s="1073">
        <f t="shared" si="0"/>
        <v>3500000</v>
      </c>
      <c r="C44" s="1082">
        <f t="shared" si="0"/>
        <v>1.1678346167576579</v>
      </c>
      <c r="D44" s="1071">
        <f>1000000*(C44-C43)/(B44-B43)</f>
        <v>3.2932159694386121E-2</v>
      </c>
      <c r="E44" s="1070" t="b">
        <f>D44&lt;D43</f>
        <v>1</v>
      </c>
      <c r="F44" s="604"/>
      <c r="N44" s="1"/>
      <c r="O44" s="1"/>
      <c r="P44" s="1"/>
      <c r="Q44" s="1"/>
      <c r="R44" s="1"/>
      <c r="S44" s="1"/>
      <c r="T44" s="1"/>
      <c r="U44" s="1"/>
      <c r="V44" s="1"/>
      <c r="W44" s="1"/>
      <c r="X44" s="1"/>
      <c r="Y44" s="1"/>
    </row>
    <row r="45" spans="1:25" ht="15.75" customHeight="1">
      <c r="B45" s="1073">
        <f t="shared" si="0"/>
        <v>5000000</v>
      </c>
      <c r="C45" s="1082">
        <f t="shared" si="0"/>
        <v>1.1886700096513212</v>
      </c>
      <c r="D45" s="1071">
        <f>1000000*(C45-C44)/(B45-B44)</f>
        <v>1.3890261929108878E-2</v>
      </c>
      <c r="E45" s="1070" t="b">
        <f>D45&lt;D44</f>
        <v>1</v>
      </c>
      <c r="F45" s="604"/>
      <c r="N45" s="1"/>
      <c r="O45" s="1"/>
      <c r="P45" s="1"/>
      <c r="Q45" s="1"/>
      <c r="R45" s="1"/>
      <c r="S45" s="1"/>
      <c r="T45" s="1"/>
      <c r="U45" s="1"/>
      <c r="V45" s="1"/>
      <c r="W45" s="1"/>
      <c r="X45" s="1"/>
      <c r="Y45" s="1"/>
    </row>
    <row r="46" spans="1:25" ht="15.75" customHeight="1">
      <c r="B46" s="1081" t="s">
        <v>1687</v>
      </c>
      <c r="C46" s="1080"/>
      <c r="D46" s="1080"/>
      <c r="E46" s="1070"/>
      <c r="F46" s="1070"/>
      <c r="G46" s="1051"/>
      <c r="N46" s="1"/>
      <c r="O46" s="1"/>
      <c r="P46" s="1"/>
      <c r="Q46" s="1"/>
      <c r="R46" s="1"/>
      <c r="S46" s="1"/>
      <c r="T46" s="1"/>
      <c r="U46" s="1"/>
      <c r="V46" s="1"/>
      <c r="W46" s="1"/>
      <c r="X46" s="1"/>
      <c r="Y46" s="1"/>
    </row>
    <row r="47" spans="1:25">
      <c r="C47" s="1079"/>
      <c r="D47" s="1079"/>
      <c r="E47" s="1079"/>
      <c r="F47" s="1079"/>
      <c r="N47" s="1"/>
      <c r="O47" s="1"/>
      <c r="P47" s="1"/>
      <c r="Q47" s="1"/>
      <c r="R47" s="1"/>
      <c r="S47" s="1"/>
      <c r="T47" s="1"/>
      <c r="U47" s="1"/>
      <c r="V47" s="1"/>
      <c r="W47" s="1"/>
      <c r="X47" s="1"/>
      <c r="Y47" s="1"/>
    </row>
    <row r="48" spans="1:25">
      <c r="A48" s="214" t="s">
        <v>4</v>
      </c>
      <c r="B48" s="1655" t="s">
        <v>1686</v>
      </c>
      <c r="C48" s="1655"/>
      <c r="D48" s="1655"/>
      <c r="E48" s="1655"/>
      <c r="F48" s="1655"/>
      <c r="G48" s="1655"/>
      <c r="H48" s="1655"/>
      <c r="I48" s="1655"/>
      <c r="J48" s="1655"/>
      <c r="K48" s="1655"/>
      <c r="L48" s="1655"/>
      <c r="M48" s="1655"/>
      <c r="N48" s="1"/>
      <c r="O48" s="1"/>
      <c r="P48" s="1"/>
      <c r="Q48" s="1"/>
      <c r="R48" s="1"/>
      <c r="S48" s="1"/>
      <c r="T48" s="1"/>
      <c r="U48" s="1"/>
      <c r="V48" s="1"/>
      <c r="W48" s="1"/>
      <c r="X48" s="1"/>
      <c r="Y48" s="1"/>
    </row>
    <row r="49" spans="1:25" ht="16.2">
      <c r="A49" s="5"/>
      <c r="B49" s="94" t="s">
        <v>1685</v>
      </c>
      <c r="C49" s="94"/>
      <c r="D49" s="759"/>
      <c r="E49" s="759"/>
      <c r="F49" s="759"/>
      <c r="G49" s="759"/>
      <c r="H49" s="93"/>
      <c r="I49" s="93"/>
      <c r="J49" s="1078"/>
      <c r="K49" s="1078"/>
      <c r="L49" s="93"/>
      <c r="M49" s="2"/>
      <c r="N49" s="1"/>
      <c r="O49" s="1"/>
      <c r="P49" s="1"/>
      <c r="Q49" s="1"/>
      <c r="R49" s="1"/>
      <c r="S49" s="1"/>
      <c r="T49" s="1"/>
      <c r="U49" s="1"/>
      <c r="V49" s="1"/>
      <c r="W49" s="1"/>
      <c r="X49" s="1"/>
      <c r="Y49" s="1"/>
    </row>
    <row r="50" spans="1:25">
      <c r="A50" s="950"/>
      <c r="C50" s="1077"/>
      <c r="D50" s="1077"/>
      <c r="E50" s="1077"/>
      <c r="F50" s="1077"/>
      <c r="N50" s="1"/>
      <c r="O50" s="1"/>
      <c r="P50" s="1"/>
      <c r="Q50" s="1"/>
      <c r="R50" s="1"/>
      <c r="S50" s="1"/>
      <c r="T50" s="1"/>
      <c r="U50" s="1"/>
      <c r="V50" s="1"/>
      <c r="W50" s="1"/>
      <c r="X50" s="1"/>
      <c r="Y50" s="1"/>
    </row>
    <row r="51" spans="1:25">
      <c r="B51" s="36" t="s">
        <v>1684</v>
      </c>
      <c r="C51" s="36" t="s">
        <v>589</v>
      </c>
      <c r="D51" s="1070" t="s">
        <v>1259</v>
      </c>
      <c r="E51"/>
      <c r="N51" s="1"/>
      <c r="O51" s="1"/>
      <c r="P51" s="1"/>
      <c r="Q51" s="1"/>
      <c r="R51" s="1"/>
      <c r="S51" s="1"/>
      <c r="T51" s="1"/>
      <c r="U51" s="1"/>
      <c r="V51" s="1"/>
      <c r="W51" s="1"/>
      <c r="X51" s="1"/>
      <c r="Y51" s="1"/>
    </row>
    <row r="52" spans="1:25">
      <c r="B52" s="1073">
        <f>B41</f>
        <v>1000000</v>
      </c>
      <c r="C52" s="1072">
        <f>C41</f>
        <v>1</v>
      </c>
      <c r="D52"/>
      <c r="E52"/>
      <c r="N52" s="1"/>
      <c r="O52" s="1"/>
      <c r="P52" s="1"/>
      <c r="Q52" s="1"/>
      <c r="R52" s="1"/>
      <c r="S52" s="1"/>
      <c r="T52" s="1"/>
      <c r="U52" s="1"/>
      <c r="V52" s="1"/>
      <c r="W52" s="1"/>
      <c r="X52" s="1"/>
      <c r="Y52" s="1"/>
    </row>
    <row r="53" spans="1:25">
      <c r="B53" s="1073">
        <f>B42</f>
        <v>1500000</v>
      </c>
      <c r="C53" s="1072">
        <f>C42</f>
        <v>1.0675974189346866</v>
      </c>
      <c r="D53" s="1071">
        <f>1000000*(C53-C52)/(B53-B52)</f>
        <v>0.13519483786937328</v>
      </c>
      <c r="E53"/>
      <c r="N53" s="1"/>
      <c r="O53" s="1"/>
      <c r="P53" s="1"/>
      <c r="Q53" s="1"/>
      <c r="R53" s="1"/>
      <c r="S53" s="1"/>
      <c r="T53" s="1"/>
      <c r="U53" s="1"/>
      <c r="V53" s="1"/>
      <c r="W53" s="1"/>
      <c r="X53" s="1"/>
      <c r="Y53" s="1"/>
    </row>
    <row r="54" spans="1:25">
      <c r="A54" s="1063"/>
      <c r="B54" s="1076">
        <v>2000000</v>
      </c>
      <c r="C54" s="1075">
        <v>1.1100000000000001</v>
      </c>
      <c r="D54" s="1074">
        <f>1000000*(C54-C53)/(B54-B53)</f>
        <v>8.4805162130626943E-2</v>
      </c>
      <c r="E54" s="1070" t="b">
        <f>D54&lt;D53</f>
        <v>1</v>
      </c>
      <c r="G54" s="910"/>
      <c r="N54" s="1"/>
      <c r="O54" s="1"/>
      <c r="P54" s="1"/>
      <c r="Q54" s="1"/>
      <c r="R54" s="1"/>
      <c r="S54" s="1"/>
      <c r="T54" s="1"/>
      <c r="U54" s="1"/>
      <c r="V54" s="1"/>
      <c r="W54" s="1"/>
      <c r="X54" s="1"/>
      <c r="Y54" s="1"/>
    </row>
    <row r="55" spans="1:25">
      <c r="A55"/>
      <c r="B55" s="1073">
        <f t="shared" ref="B55:C57" si="1">B43</f>
        <v>2500000</v>
      </c>
      <c r="C55" s="1072">
        <f t="shared" si="1"/>
        <v>1.1349024570632718</v>
      </c>
      <c r="D55" s="1071">
        <f>1000000*(C55-C54)/(B55-B54)</f>
        <v>4.9804914126543309E-2</v>
      </c>
      <c r="E55" s="1070" t="b">
        <f>D55&lt;D54</f>
        <v>1</v>
      </c>
      <c r="N55" s="1"/>
      <c r="O55" s="1"/>
      <c r="P55" s="1"/>
      <c r="Q55" s="1"/>
      <c r="R55" s="1"/>
      <c r="S55" s="1"/>
      <c r="T55" s="1"/>
      <c r="U55" s="1"/>
      <c r="V55" s="1"/>
      <c r="W55" s="1"/>
      <c r="X55" s="1"/>
      <c r="Y55" s="1"/>
    </row>
    <row r="56" spans="1:25">
      <c r="A56"/>
      <c r="B56" s="1073">
        <f t="shared" si="1"/>
        <v>3500000</v>
      </c>
      <c r="C56" s="1072">
        <f t="shared" si="1"/>
        <v>1.1678346167576579</v>
      </c>
      <c r="D56" s="1071">
        <f>1000000*(C56-C55)/(B56-B55)</f>
        <v>3.2932159694386121E-2</v>
      </c>
      <c r="E56" s="1070" t="b">
        <f>D56&lt;D55</f>
        <v>1</v>
      </c>
      <c r="N56" s="1"/>
      <c r="O56" s="1"/>
      <c r="P56" s="1"/>
      <c r="Q56" s="1"/>
      <c r="R56" s="1"/>
      <c r="S56" s="1"/>
      <c r="T56" s="1"/>
      <c r="U56" s="1"/>
      <c r="V56" s="1"/>
      <c r="W56" s="1"/>
      <c r="X56" s="1"/>
      <c r="Y56" s="1"/>
    </row>
    <row r="57" spans="1:25">
      <c r="A57"/>
      <c r="B57" s="1073">
        <f t="shared" si="1"/>
        <v>5000000</v>
      </c>
      <c r="C57" s="1072">
        <f t="shared" si="1"/>
        <v>1.1886700096513212</v>
      </c>
      <c r="D57" s="1071">
        <f>1000000*(C57-C56)/(B57-B56)</f>
        <v>1.3890261929108878E-2</v>
      </c>
      <c r="E57" s="1070" t="b">
        <f>D57&lt;D56</f>
        <v>1</v>
      </c>
      <c r="N57" s="1"/>
      <c r="O57" s="1"/>
      <c r="P57" s="1"/>
      <c r="Q57" s="1"/>
      <c r="R57" s="1"/>
      <c r="S57" s="1"/>
      <c r="T57" s="1"/>
      <c r="U57" s="1"/>
      <c r="V57" s="1"/>
      <c r="W57" s="1"/>
      <c r="X57" s="1"/>
      <c r="Y57" s="1"/>
    </row>
    <row r="58" spans="1:25">
      <c r="A58"/>
      <c r="N58" s="1"/>
      <c r="O58" s="1"/>
      <c r="P58" s="1"/>
      <c r="Q58" s="1"/>
      <c r="R58" s="1"/>
      <c r="S58" s="1"/>
      <c r="T58" s="1"/>
      <c r="U58" s="1"/>
      <c r="V58" s="1"/>
      <c r="W58" s="1"/>
      <c r="X58" s="1"/>
      <c r="Y58" s="1"/>
    </row>
    <row r="59" spans="1:25">
      <c r="A59" s="1063"/>
      <c r="B59" s="1875" t="s">
        <v>1683</v>
      </c>
      <c r="C59" s="1875"/>
      <c r="D59" s="1875"/>
      <c r="E59" s="1875"/>
      <c r="N59" s="1"/>
      <c r="O59" s="1"/>
      <c r="P59" s="1"/>
      <c r="Q59" s="1"/>
      <c r="R59" s="1"/>
      <c r="S59" s="1"/>
      <c r="T59" s="1"/>
      <c r="U59" s="1"/>
      <c r="V59" s="1"/>
      <c r="W59" s="1"/>
      <c r="X59" s="1"/>
      <c r="Y59" s="1"/>
    </row>
    <row r="60" spans="1:25">
      <c r="A60" s="1063"/>
      <c r="B60" s="1875"/>
      <c r="C60" s="1875"/>
      <c r="D60" s="1875"/>
      <c r="E60" s="1875"/>
      <c r="N60" s="1"/>
      <c r="O60" s="1"/>
      <c r="P60" s="1"/>
      <c r="Q60" s="1"/>
      <c r="R60" s="1"/>
      <c r="S60" s="1"/>
      <c r="T60" s="1"/>
      <c r="U60" s="1"/>
      <c r="V60" s="1"/>
      <c r="W60" s="1"/>
      <c r="X60" s="1"/>
      <c r="Y60" s="1"/>
    </row>
    <row r="61" spans="1:25">
      <c r="B61" s="1875"/>
      <c r="C61" s="1875"/>
      <c r="D61" s="1875"/>
      <c r="E61" s="1875"/>
      <c r="N61" s="1"/>
      <c r="O61" s="1"/>
      <c r="P61" s="1"/>
      <c r="Q61" s="1"/>
      <c r="R61" s="1"/>
      <c r="S61" s="1"/>
      <c r="T61" s="1"/>
      <c r="U61" s="1"/>
      <c r="V61" s="1"/>
      <c r="W61" s="1"/>
      <c r="X61" s="1"/>
      <c r="Y61" s="1"/>
    </row>
    <row r="62" spans="1:25">
      <c r="A62" s="1069"/>
      <c r="B62" s="1875"/>
      <c r="C62" s="1875"/>
      <c r="D62" s="1875"/>
      <c r="E62" s="1875"/>
      <c r="N62" s="1"/>
      <c r="O62" s="1"/>
      <c r="P62" s="1"/>
      <c r="Q62" s="1"/>
      <c r="R62" s="1"/>
      <c r="S62" s="1"/>
      <c r="T62" s="1"/>
      <c r="U62" s="1"/>
      <c r="V62" s="1"/>
      <c r="W62" s="1"/>
      <c r="X62" s="1"/>
      <c r="Y62" s="1"/>
    </row>
    <row r="63" spans="1:25">
      <c r="A63" s="1069"/>
      <c r="B63" s="1875"/>
      <c r="C63" s="1875"/>
      <c r="D63" s="1875"/>
      <c r="E63" s="1875"/>
      <c r="N63" s="1"/>
      <c r="O63" s="1"/>
      <c r="P63" s="1"/>
      <c r="Q63" s="1"/>
      <c r="R63" s="1"/>
      <c r="S63" s="1"/>
      <c r="T63" s="1"/>
      <c r="U63" s="1"/>
      <c r="V63" s="1"/>
      <c r="W63" s="1"/>
      <c r="X63" s="1"/>
      <c r="Y63" s="1"/>
    </row>
    <row r="64" spans="1:25">
      <c r="A64" s="1069"/>
      <c r="B64"/>
      <c r="N64" s="1"/>
      <c r="O64" s="1"/>
      <c r="P64" s="1"/>
      <c r="Q64" s="1"/>
      <c r="R64" s="1"/>
      <c r="S64" s="1"/>
      <c r="T64" s="1"/>
      <c r="U64" s="1"/>
      <c r="V64" s="1"/>
      <c r="W64" s="1"/>
      <c r="X64" s="1"/>
      <c r="Y64" s="1"/>
    </row>
    <row r="65" spans="14:25" ht="15.75" customHeight="1">
      <c r="N65" s="1"/>
      <c r="O65" s="1"/>
      <c r="P65" s="1"/>
      <c r="Q65" s="1"/>
      <c r="R65" s="1"/>
      <c r="S65" s="1"/>
      <c r="T65" s="1"/>
      <c r="U65" s="1"/>
      <c r="V65" s="1"/>
      <c r="W65" s="1"/>
      <c r="X65" s="1"/>
      <c r="Y65" s="1"/>
    </row>
    <row r="66" spans="14:25" ht="15.75" customHeight="1">
      <c r="N66" s="1"/>
      <c r="O66" s="1"/>
      <c r="P66" s="1"/>
      <c r="Q66" s="1"/>
      <c r="R66" s="1"/>
      <c r="S66" s="1"/>
      <c r="T66" s="1"/>
      <c r="U66" s="1"/>
      <c r="V66" s="1"/>
      <c r="W66" s="1"/>
      <c r="X66" s="1"/>
      <c r="Y66" s="1"/>
    </row>
    <row r="67" spans="14:25" ht="15.75" customHeight="1">
      <c r="N67" s="1"/>
      <c r="O67" s="1"/>
      <c r="P67" s="1"/>
      <c r="Q67" s="1"/>
      <c r="R67" s="1"/>
      <c r="S67" s="1"/>
      <c r="T67" s="1"/>
      <c r="U67" s="1"/>
      <c r="V67" s="1"/>
      <c r="W67" s="1"/>
      <c r="X67" s="1"/>
      <c r="Y67" s="1"/>
    </row>
    <row r="68" spans="14:25" ht="15.75" customHeight="1">
      <c r="N68" s="1"/>
      <c r="O68" s="1"/>
      <c r="P68" s="1"/>
      <c r="Q68" s="1"/>
      <c r="R68" s="1"/>
      <c r="S68" s="1"/>
      <c r="T68" s="1"/>
      <c r="U68" s="1"/>
      <c r="V68" s="1"/>
      <c r="W68" s="1"/>
      <c r="X68" s="1"/>
      <c r="Y68" s="1"/>
    </row>
    <row r="69" spans="14:25" ht="15.75" customHeight="1">
      <c r="N69" s="1"/>
      <c r="O69" s="1"/>
      <c r="P69" s="1"/>
      <c r="Q69" s="1"/>
      <c r="R69" s="1"/>
      <c r="S69" s="1"/>
      <c r="T69" s="1"/>
      <c r="U69" s="1"/>
      <c r="V69" s="1"/>
      <c r="W69" s="1"/>
      <c r="X69" s="1"/>
      <c r="Y69" s="1"/>
    </row>
    <row r="70" spans="14:25" ht="15.75" customHeight="1">
      <c r="N70" s="1"/>
      <c r="O70" s="1"/>
      <c r="P70" s="1"/>
      <c r="Q70" s="1"/>
      <c r="R70" s="1"/>
      <c r="S70" s="1"/>
      <c r="T70" s="1"/>
      <c r="U70" s="1"/>
      <c r="V70" s="1"/>
      <c r="W70" s="1"/>
      <c r="X70" s="1"/>
      <c r="Y70" s="1"/>
    </row>
    <row r="71" spans="14:25" ht="15.75" customHeight="1">
      <c r="N71" s="1"/>
      <c r="O71" s="1"/>
      <c r="P71" s="1"/>
      <c r="Q71" s="1"/>
      <c r="R71" s="1"/>
      <c r="S71" s="1"/>
      <c r="T71" s="1"/>
      <c r="U71" s="1"/>
      <c r="V71" s="1"/>
      <c r="W71" s="1"/>
      <c r="X71" s="1"/>
      <c r="Y71" s="1"/>
    </row>
    <row r="72" spans="14:25" ht="15.75" customHeight="1">
      <c r="N72" s="1"/>
      <c r="O72" s="1"/>
      <c r="P72" s="1"/>
      <c r="Q72" s="1"/>
      <c r="R72" s="1"/>
      <c r="S72" s="1"/>
      <c r="T72" s="1"/>
      <c r="U72" s="1"/>
      <c r="V72" s="1"/>
      <c r="W72" s="1"/>
      <c r="X72" s="1"/>
      <c r="Y72" s="1"/>
    </row>
    <row r="73" spans="14:25" ht="15.75" customHeight="1">
      <c r="N73" s="1"/>
      <c r="O73" s="1"/>
      <c r="P73" s="1"/>
      <c r="Q73" s="1"/>
      <c r="R73" s="1"/>
      <c r="S73" s="1"/>
      <c r="T73" s="1"/>
      <c r="U73" s="1"/>
      <c r="V73" s="1"/>
      <c r="W73" s="1"/>
      <c r="X73" s="1"/>
      <c r="Y73" s="1"/>
    </row>
    <row r="74" spans="14:25" ht="15.75" customHeight="1">
      <c r="N74" s="1"/>
      <c r="O74" s="1"/>
      <c r="P74" s="1"/>
      <c r="Q74" s="1"/>
      <c r="R74" s="1"/>
      <c r="S74" s="1"/>
      <c r="T74" s="1"/>
      <c r="U74" s="1"/>
      <c r="V74" s="1"/>
      <c r="W74" s="1"/>
      <c r="X74" s="1"/>
      <c r="Y74" s="1"/>
    </row>
    <row r="75" spans="14:25" ht="15.75" customHeight="1">
      <c r="N75" s="1"/>
      <c r="O75" s="1"/>
      <c r="P75" s="1"/>
      <c r="Q75" s="1"/>
      <c r="R75" s="1"/>
      <c r="S75" s="1"/>
      <c r="T75" s="1"/>
      <c r="U75" s="1"/>
      <c r="V75" s="1"/>
      <c r="W75" s="1"/>
      <c r="X75" s="1"/>
      <c r="Y75" s="1"/>
    </row>
    <row r="76" spans="14:25" ht="15.75" customHeight="1">
      <c r="N76" s="1"/>
      <c r="O76" s="1"/>
      <c r="P76" s="1"/>
      <c r="Q76" s="1"/>
      <c r="R76" s="1"/>
      <c r="S76" s="1"/>
      <c r="T76" s="1"/>
      <c r="U76" s="1"/>
      <c r="V76" s="1"/>
      <c r="W76" s="1"/>
      <c r="X76" s="1"/>
      <c r="Y76" s="1"/>
    </row>
    <row r="77" spans="14:25" ht="15.75" customHeight="1"/>
    <row r="78" spans="14:25" ht="15.75" customHeight="1"/>
    <row r="79" spans="14:25" ht="15.75" customHeight="1"/>
    <row r="80" spans="14:25" ht="15.75" customHeight="1"/>
    <row r="81" ht="15.75" customHeight="1"/>
    <row r="82" ht="15.75" customHeight="1"/>
    <row r="83" ht="15.75" customHeight="1"/>
  </sheetData>
  <mergeCells count="10">
    <mergeCell ref="B22:M22"/>
    <mergeCell ref="B37:M37"/>
    <mergeCell ref="B48:M48"/>
    <mergeCell ref="B59:E63"/>
    <mergeCell ref="A4:M4"/>
    <mergeCell ref="B6:C6"/>
    <mergeCell ref="D6:D7"/>
    <mergeCell ref="E6:E7"/>
    <mergeCell ref="F6:F7"/>
    <mergeCell ref="B19:M19"/>
  </mergeCells>
  <pageMargins left="0.7" right="0.7" top="0.75" bottom="0.75" header="0.3" footer="0.3"/>
  <pageSetup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EC76-B561-4DC7-AC49-7AA7D39C5E34}">
  <dimension ref="A1:X66"/>
  <sheetViews>
    <sheetView zoomScaleNormal="100" workbookViewId="0"/>
  </sheetViews>
  <sheetFormatPr defaultColWidth="9.109375" defaultRowHeight="15.6"/>
  <cols>
    <col min="1" max="1" width="10.33203125" style="1" customWidth="1"/>
    <col min="2" max="7" width="17.6640625" style="1" customWidth="1"/>
    <col min="8" max="12" width="9.109375" style="1"/>
    <col min="13" max="13" width="8.88671875" bestFit="1" customWidth="1"/>
    <col min="25" max="16384" width="9.109375" style="1"/>
  </cols>
  <sheetData>
    <row r="1" spans="1:13" ht="15.75" customHeight="1">
      <c r="A1" s="23" t="s">
        <v>707</v>
      </c>
      <c r="B1" s="22"/>
      <c r="C1" s="5" t="s">
        <v>38</v>
      </c>
      <c r="D1" s="22"/>
      <c r="E1" s="22"/>
      <c r="F1" s="22"/>
      <c r="G1" s="22"/>
      <c r="H1" s="22"/>
      <c r="I1" s="22"/>
      <c r="J1" s="22"/>
      <c r="K1" s="22"/>
      <c r="L1" s="2"/>
      <c r="M1" s="2"/>
    </row>
    <row r="2" spans="1:13" ht="15.75" customHeight="1">
      <c r="A2" s="21"/>
      <c r="B2" s="21"/>
      <c r="C2" s="21"/>
      <c r="D2" s="21"/>
      <c r="E2" s="21"/>
      <c r="F2" s="21"/>
      <c r="G2" s="21"/>
      <c r="H2" s="21"/>
      <c r="I2" s="21"/>
      <c r="J2" s="21"/>
      <c r="K2" s="21"/>
      <c r="L2" s="2"/>
      <c r="M2" s="2"/>
    </row>
    <row r="3" spans="1:13">
      <c r="A3" s="1655" t="s">
        <v>1732</v>
      </c>
      <c r="B3" s="1873"/>
      <c r="C3" s="1873"/>
      <c r="D3" s="1873"/>
      <c r="E3" s="1873"/>
      <c r="F3" s="1873"/>
      <c r="G3" s="1873"/>
      <c r="H3" s="1873"/>
      <c r="I3" s="1873"/>
      <c r="J3" s="1873"/>
      <c r="K3" s="1873"/>
      <c r="L3" s="1873"/>
      <c r="M3" s="2"/>
    </row>
    <row r="4" spans="1:13">
      <c r="A4" s="45"/>
      <c r="B4" s="484"/>
      <c r="C4" s="214"/>
      <c r="D4" s="214"/>
      <c r="E4" s="214"/>
      <c r="F4" s="214"/>
      <c r="G4" s="214"/>
      <c r="H4" s="214"/>
      <c r="I4" s="214"/>
      <c r="J4" s="214"/>
      <c r="K4" s="214"/>
      <c r="L4" s="214"/>
      <c r="M4" s="2"/>
    </row>
    <row r="5" spans="1:13">
      <c r="A5" s="1736" t="s">
        <v>1731</v>
      </c>
      <c r="B5" s="1736"/>
      <c r="C5" s="1736"/>
      <c r="D5" s="1736"/>
      <c r="E5" s="214"/>
      <c r="F5" s="214"/>
      <c r="G5" s="214"/>
      <c r="H5" s="214"/>
      <c r="I5" s="214"/>
      <c r="J5" s="214"/>
      <c r="K5" s="214"/>
      <c r="L5" s="214"/>
      <c r="M5" s="2"/>
    </row>
    <row r="6" spans="1:13">
      <c r="A6" s="1876" t="s">
        <v>1730</v>
      </c>
      <c r="B6" s="1876"/>
      <c r="C6" s="1876"/>
      <c r="D6" s="470">
        <v>0.22500000000000001</v>
      </c>
      <c r="E6" s="214"/>
      <c r="F6" s="214"/>
      <c r="G6" s="214"/>
      <c r="H6" s="214"/>
      <c r="I6" s="214"/>
      <c r="J6" s="214"/>
      <c r="K6" s="214"/>
      <c r="L6" s="214"/>
      <c r="M6" s="2"/>
    </row>
    <row r="7" spans="1:13" ht="31.2" customHeight="1">
      <c r="A7" s="1871" t="s">
        <v>1729</v>
      </c>
      <c r="B7" s="1871"/>
      <c r="C7" s="1871"/>
      <c r="D7" s="1103">
        <v>0.65</v>
      </c>
      <c r="E7" s="214"/>
      <c r="F7" s="214"/>
      <c r="G7" s="214"/>
      <c r="H7" s="214"/>
      <c r="I7" s="214"/>
      <c r="J7" s="214"/>
      <c r="K7" s="214"/>
      <c r="L7" s="214"/>
      <c r="M7" s="2"/>
    </row>
    <row r="8" spans="1:13">
      <c r="A8" s="1876" t="s">
        <v>1728</v>
      </c>
      <c r="B8" s="1876"/>
      <c r="C8" s="1876"/>
      <c r="D8" s="470">
        <v>1.2549999999999999</v>
      </c>
      <c r="E8" s="214"/>
      <c r="F8" s="214"/>
      <c r="G8" s="214"/>
      <c r="H8" s="214"/>
      <c r="I8" s="214"/>
      <c r="J8" s="214"/>
      <c r="K8" s="214"/>
      <c r="L8" s="214"/>
      <c r="M8" s="2"/>
    </row>
    <row r="9" spans="1:13">
      <c r="A9" s="1876" t="s">
        <v>1727</v>
      </c>
      <c r="B9" s="1876"/>
      <c r="C9" s="1876"/>
      <c r="D9" s="470">
        <v>1.0349999999999999</v>
      </c>
      <c r="E9" s="214"/>
      <c r="F9" s="214"/>
      <c r="G9" s="214"/>
      <c r="H9" s="214"/>
      <c r="I9" s="214"/>
      <c r="J9" s="214"/>
      <c r="K9" s="214"/>
      <c r="L9" s="214"/>
      <c r="M9" s="2"/>
    </row>
    <row r="10" spans="1:13">
      <c r="A10" s="45"/>
      <c r="B10" s="484"/>
      <c r="C10" s="214"/>
      <c r="D10" s="214"/>
      <c r="E10" s="214"/>
      <c r="F10" s="214"/>
      <c r="G10" s="214"/>
      <c r="H10" s="214"/>
      <c r="I10" s="214"/>
      <c r="J10" s="214"/>
      <c r="K10" s="214"/>
      <c r="L10" s="214"/>
      <c r="M10" s="2"/>
    </row>
    <row r="11" spans="1:13" ht="62.4">
      <c r="A11" s="45"/>
      <c r="B11" s="83" t="s">
        <v>1726</v>
      </c>
      <c r="C11" s="83" t="s">
        <v>1725</v>
      </c>
      <c r="D11" s="83" t="s">
        <v>1724</v>
      </c>
      <c r="E11" s="214"/>
      <c r="F11" s="214"/>
      <c r="G11" s="214"/>
      <c r="H11" s="214"/>
      <c r="I11" s="214"/>
      <c r="J11" s="214"/>
      <c r="K11" s="214"/>
      <c r="L11" s="214"/>
      <c r="M11" s="2"/>
    </row>
    <row r="12" spans="1:13">
      <c r="A12" s="45"/>
      <c r="B12" s="133" t="s">
        <v>1611</v>
      </c>
      <c r="C12" s="1102">
        <v>0.79</v>
      </c>
      <c r="D12" s="1057">
        <v>0.875</v>
      </c>
      <c r="E12" s="214"/>
      <c r="F12" s="214"/>
      <c r="G12" s="214"/>
      <c r="H12" s="214"/>
      <c r="I12" s="214"/>
      <c r="J12" s="214"/>
      <c r="K12" s="214"/>
      <c r="L12" s="214"/>
      <c r="M12" s="2"/>
    </row>
    <row r="13" spans="1:13">
      <c r="A13" s="45"/>
      <c r="B13" s="133" t="s">
        <v>1610</v>
      </c>
      <c r="C13" s="1102">
        <v>0.92</v>
      </c>
      <c r="D13" s="1057">
        <v>0.61399999999999999</v>
      </c>
      <c r="E13" s="214"/>
      <c r="F13" s="214"/>
      <c r="G13" s="214"/>
      <c r="H13" s="214"/>
      <c r="I13" s="214"/>
      <c r="J13" s="214"/>
      <c r="K13" s="214"/>
      <c r="L13" s="214"/>
      <c r="M13" s="2"/>
    </row>
    <row r="14" spans="1:13">
      <c r="A14" s="45"/>
      <c r="B14" s="133" t="s">
        <v>1609</v>
      </c>
      <c r="C14" s="1102">
        <v>0.98</v>
      </c>
      <c r="D14" s="1057">
        <v>0.20200000000000001</v>
      </c>
      <c r="E14" s="214"/>
      <c r="F14" s="214"/>
      <c r="G14" s="214"/>
      <c r="H14" s="214"/>
      <c r="I14" s="214"/>
      <c r="J14" s="214"/>
      <c r="K14" s="214"/>
      <c r="L14" s="214"/>
      <c r="M14" s="2"/>
    </row>
    <row r="15" spans="1:13">
      <c r="A15" s="45"/>
      <c r="B15" s="133" t="s">
        <v>1644</v>
      </c>
      <c r="C15" s="1102">
        <v>1</v>
      </c>
      <c r="D15" s="1057">
        <v>0.188</v>
      </c>
      <c r="E15" s="214"/>
      <c r="F15" s="214"/>
      <c r="G15" s="214"/>
      <c r="H15" s="214"/>
      <c r="I15" s="214"/>
      <c r="J15" s="214"/>
      <c r="K15" s="214"/>
      <c r="L15" s="214"/>
      <c r="M15" s="2"/>
    </row>
    <row r="16" spans="1:13">
      <c r="A16" s="45"/>
      <c r="B16" s="484"/>
      <c r="C16" s="214"/>
      <c r="D16" s="214"/>
      <c r="E16" s="214"/>
      <c r="F16" s="214"/>
      <c r="G16" s="214"/>
      <c r="H16" s="214"/>
      <c r="I16" s="214"/>
      <c r="J16" s="214"/>
      <c r="K16" s="214"/>
      <c r="L16" s="214"/>
      <c r="M16" s="2"/>
    </row>
    <row r="17" spans="1:13" ht="62.4">
      <c r="A17" s="45"/>
      <c r="B17" s="686" t="s">
        <v>1641</v>
      </c>
      <c r="C17" s="686" t="s">
        <v>1723</v>
      </c>
      <c r="D17" s="686" t="s">
        <v>1722</v>
      </c>
      <c r="E17" s="686" t="s">
        <v>1721</v>
      </c>
      <c r="F17" s="686" t="s">
        <v>1720</v>
      </c>
      <c r="G17" s="686" t="s">
        <v>1719</v>
      </c>
      <c r="H17" s="214"/>
      <c r="I17" s="214"/>
      <c r="J17" s="214"/>
      <c r="K17" s="214"/>
      <c r="L17" s="214"/>
      <c r="M17" s="2"/>
    </row>
    <row r="18" spans="1:13">
      <c r="A18" s="45"/>
      <c r="B18" s="1098">
        <v>2019</v>
      </c>
      <c r="C18" s="1101">
        <v>234150</v>
      </c>
      <c r="D18" s="1100">
        <v>199950</v>
      </c>
      <c r="E18" s="1100">
        <v>345790</v>
      </c>
      <c r="F18" s="1099">
        <v>351120</v>
      </c>
      <c r="G18" s="1098">
        <v>2</v>
      </c>
      <c r="H18" s="214"/>
      <c r="I18" s="214"/>
      <c r="J18" s="214"/>
      <c r="K18" s="214"/>
      <c r="L18" s="214"/>
      <c r="M18" s="2"/>
    </row>
    <row r="19" spans="1:13">
      <c r="A19" s="45"/>
      <c r="B19" s="133">
        <v>2020</v>
      </c>
      <c r="C19" s="683">
        <v>228660</v>
      </c>
      <c r="D19" s="1086">
        <v>172530</v>
      </c>
      <c r="E19" s="1086">
        <v>339570</v>
      </c>
      <c r="F19" s="1088">
        <v>345680</v>
      </c>
      <c r="G19" s="133">
        <v>1</v>
      </c>
      <c r="H19" s="214"/>
      <c r="I19" s="214"/>
      <c r="J19" s="214"/>
      <c r="K19" s="214"/>
      <c r="L19" s="214"/>
      <c r="M19" s="2"/>
    </row>
    <row r="20" spans="1:13">
      <c r="A20" s="45"/>
      <c r="B20" s="133">
        <v>2021</v>
      </c>
      <c r="C20" s="683">
        <v>289800</v>
      </c>
      <c r="D20" s="1097">
        <v>0</v>
      </c>
      <c r="E20" s="1086">
        <v>0</v>
      </c>
      <c r="F20" s="1088">
        <v>385644</v>
      </c>
      <c r="G20" s="133">
        <v>0</v>
      </c>
      <c r="H20" s="214"/>
      <c r="I20" s="214"/>
      <c r="J20" s="214"/>
      <c r="K20" s="214"/>
      <c r="L20" s="214"/>
      <c r="M20" s="2"/>
    </row>
    <row r="21" spans="1:13">
      <c r="A21" s="45"/>
      <c r="B21" s="484"/>
      <c r="C21" s="214"/>
      <c r="D21" s="214"/>
      <c r="E21" s="214"/>
      <c r="F21" s="214"/>
      <c r="G21" s="214"/>
      <c r="H21" s="214"/>
      <c r="I21" s="214"/>
      <c r="J21" s="214"/>
      <c r="K21" s="214"/>
      <c r="L21" s="214"/>
      <c r="M21" s="2"/>
    </row>
    <row r="22" spans="1:13" ht="31.2" customHeight="1">
      <c r="A22" s="214" t="s">
        <v>80</v>
      </c>
      <c r="B22" s="1655" t="s">
        <v>1718</v>
      </c>
      <c r="C22" s="1655"/>
      <c r="D22" s="1655"/>
      <c r="E22" s="1655"/>
      <c r="F22" s="1655"/>
      <c r="G22" s="1655"/>
      <c r="H22" s="1655"/>
      <c r="I22" s="1655"/>
      <c r="J22" s="1655"/>
      <c r="K22" s="1655"/>
      <c r="L22" s="1655"/>
      <c r="M22" s="2"/>
    </row>
    <row r="23" spans="1:13" ht="16.2">
      <c r="A23" s="5"/>
      <c r="B23" s="5" t="s">
        <v>64</v>
      </c>
      <c r="C23" s="5"/>
      <c r="D23" s="4"/>
      <c r="E23" s="4"/>
      <c r="F23" s="3"/>
      <c r="G23" s="3"/>
      <c r="H23" s="3"/>
      <c r="I23" s="2"/>
      <c r="J23" s="2"/>
      <c r="K23" s="2"/>
      <c r="L23" s="2"/>
      <c r="M23" s="2"/>
    </row>
    <row r="24" spans="1:13" ht="16.2">
      <c r="A24" s="1096"/>
      <c r="B24" s="59"/>
      <c r="C24" s="59"/>
      <c r="D24" s="188"/>
      <c r="E24" s="188"/>
      <c r="F24" s="187"/>
      <c r="G24"/>
      <c r="H24"/>
      <c r="I24"/>
      <c r="J24"/>
      <c r="M24" s="1"/>
    </row>
    <row r="25" spans="1:13">
      <c r="E25" s="36" t="s">
        <v>1717</v>
      </c>
      <c r="F25" s="36" t="s">
        <v>1716</v>
      </c>
      <c r="G25"/>
      <c r="H25"/>
      <c r="I25"/>
      <c r="J25"/>
      <c r="M25" s="1"/>
    </row>
    <row r="26" spans="1:13">
      <c r="B26" s="503" t="s">
        <v>1615</v>
      </c>
      <c r="C26" s="1094">
        <f>(D6*D9/(D7*C12))+(D9*D8*D12)</f>
        <v>1.5900647304040894</v>
      </c>
      <c r="E26" s="36">
        <v>1</v>
      </c>
      <c r="F26" s="1093">
        <f>C12</f>
        <v>0.79</v>
      </c>
      <c r="G26"/>
      <c r="H26"/>
      <c r="I26"/>
      <c r="J26"/>
      <c r="M26" s="1"/>
    </row>
    <row r="27" spans="1:13">
      <c r="B27" s="503" t="s">
        <v>1614</v>
      </c>
      <c r="C27" s="1094">
        <f>D$9*D$8*D13</f>
        <v>0.79753994999999989</v>
      </c>
      <c r="E27" s="36">
        <v>2</v>
      </c>
      <c r="F27" s="1093">
        <f>C13-C12</f>
        <v>0.13</v>
      </c>
      <c r="G27"/>
      <c r="H27"/>
      <c r="I27"/>
      <c r="J27"/>
      <c r="M27" s="1"/>
    </row>
    <row r="28" spans="1:13">
      <c r="B28" s="503" t="s">
        <v>1715</v>
      </c>
      <c r="C28" s="1094">
        <f>D$9*D$8*D14</f>
        <v>0.26238285</v>
      </c>
      <c r="E28" s="36">
        <v>3</v>
      </c>
      <c r="F28" s="1093">
        <f>C14-C13</f>
        <v>5.9999999999999942E-2</v>
      </c>
      <c r="G28"/>
      <c r="H28"/>
      <c r="I28"/>
      <c r="J28"/>
      <c r="M28" s="1"/>
    </row>
    <row r="29" spans="1:13">
      <c r="B29" s="1095" t="s">
        <v>1714</v>
      </c>
      <c r="C29" s="1094">
        <f>D$9*D$8*D15</f>
        <v>0.24419789999999997</v>
      </c>
      <c r="E29" s="36">
        <v>4</v>
      </c>
      <c r="F29" s="1093">
        <f>C15-C14</f>
        <v>2.0000000000000018E-2</v>
      </c>
      <c r="G29"/>
      <c r="H29"/>
      <c r="I29"/>
      <c r="J29"/>
      <c r="M29" s="1"/>
    </row>
    <row r="30" spans="1:13">
      <c r="G30"/>
      <c r="H30"/>
      <c r="I30"/>
      <c r="J30"/>
      <c r="M30" s="1"/>
    </row>
    <row r="31" spans="1:13">
      <c r="B31" s="1091" t="s">
        <v>1606</v>
      </c>
      <c r="C31" s="365" cm="1">
        <f t="array" ref="C31">SUMPRODUCT(C26:C$29*F26:F$29)/SUM(F26:F$29)</f>
        <v>1.3804582595192305</v>
      </c>
      <c r="E31" s="1092" t="s">
        <v>1713</v>
      </c>
      <c r="G31"/>
      <c r="H31"/>
      <c r="I31"/>
      <c r="J31"/>
      <c r="M31" s="1"/>
    </row>
    <row r="32" spans="1:13">
      <c r="B32" s="1091" t="s">
        <v>1605</v>
      </c>
      <c r="C32" s="365" cm="1">
        <f t="array" ref="C32">SUMPRODUCT(C27:C$29*F27:F$29)/SUM(F27:F$29)</f>
        <v>0.59193867857142857</v>
      </c>
      <c r="G32"/>
      <c r="H32"/>
      <c r="I32"/>
      <c r="J32"/>
      <c r="M32" s="1"/>
    </row>
    <row r="33" spans="1:24">
      <c r="B33" s="1091" t="s">
        <v>1712</v>
      </c>
      <c r="C33" s="365" cm="1">
        <f t="array" ref="C33">SUMPRODUCT(C28:C$29*F28:F$29)/SUM(F28:F$29)</f>
        <v>0.25783661250000001</v>
      </c>
      <c r="G33"/>
      <c r="H33"/>
      <c r="I33"/>
      <c r="J33"/>
      <c r="M33" s="1"/>
    </row>
    <row r="34" spans="1:24">
      <c r="B34" s="1091" t="s">
        <v>1711</v>
      </c>
      <c r="C34" s="365" cm="1">
        <f t="array" ref="C34">SUMPRODUCT(C29:C$29*F29:F$29)/SUM(F29:F$29)</f>
        <v>0.24419789999999994</v>
      </c>
      <c r="G34"/>
      <c r="H34"/>
      <c r="I34"/>
      <c r="J34"/>
      <c r="M34" s="1"/>
    </row>
    <row r="35" spans="1:24">
      <c r="M35" s="1"/>
    </row>
    <row r="36" spans="1:24" ht="31.2" customHeight="1">
      <c r="A36" s="214" t="s">
        <v>9</v>
      </c>
      <c r="B36" s="1655" t="s">
        <v>1710</v>
      </c>
      <c r="C36" s="1655"/>
      <c r="D36" s="1655"/>
      <c r="E36" s="1655"/>
      <c r="F36" s="1655"/>
      <c r="G36" s="1655"/>
      <c r="H36" s="1655"/>
      <c r="I36" s="1655"/>
      <c r="J36" s="1655"/>
      <c r="K36" s="1655"/>
      <c r="L36" s="1655"/>
      <c r="M36" s="2"/>
    </row>
    <row r="37" spans="1:24" ht="16.2">
      <c r="A37" s="5"/>
      <c r="B37" s="5" t="s">
        <v>64</v>
      </c>
      <c r="C37" s="5"/>
      <c r="D37" s="4"/>
      <c r="E37" s="4"/>
      <c r="F37" s="3"/>
      <c r="G37" s="3"/>
      <c r="H37" s="3"/>
      <c r="I37" s="2"/>
      <c r="J37" s="2"/>
      <c r="K37" s="2"/>
      <c r="L37" s="2"/>
      <c r="M37" s="2"/>
    </row>
    <row r="38" spans="1:24">
      <c r="A38" s="1090"/>
      <c r="B38" s="1685" t="s">
        <v>1709</v>
      </c>
      <c r="C38" s="1686"/>
      <c r="D38" s="1686"/>
      <c r="E38" s="1686"/>
      <c r="F38" s="1686"/>
      <c r="G38" s="1686"/>
      <c r="H38" s="1686"/>
      <c r="I38" s="1686"/>
      <c r="J38" s="1686"/>
      <c r="K38" s="1686"/>
      <c r="L38" s="1686"/>
      <c r="M38" s="1686"/>
    </row>
    <row r="39" spans="1:24">
      <c r="B39" s="1686"/>
      <c r="C39" s="1686"/>
      <c r="D39" s="1686"/>
      <c r="E39" s="1686"/>
      <c r="F39" s="1686"/>
      <c r="G39" s="1686"/>
      <c r="H39" s="1686"/>
      <c r="I39" s="1686"/>
      <c r="J39" s="1686"/>
      <c r="K39" s="1686"/>
      <c r="L39" s="1686"/>
      <c r="M39" s="1686"/>
    </row>
    <row r="40" spans="1:24">
      <c r="B40" s="1686"/>
      <c r="C40" s="1686"/>
      <c r="D40" s="1686"/>
      <c r="E40" s="1686"/>
      <c r="F40" s="1686"/>
      <c r="G40" s="1686"/>
      <c r="H40" s="1686"/>
      <c r="I40" s="1686"/>
      <c r="J40" s="1686"/>
      <c r="K40" s="1686"/>
      <c r="L40" s="1686"/>
      <c r="M40" s="1686"/>
    </row>
    <row r="41" spans="1:24">
      <c r="A41" s="214" t="s">
        <v>7</v>
      </c>
      <c r="B41" s="1655" t="s">
        <v>1708</v>
      </c>
      <c r="C41" s="1655"/>
      <c r="D41" s="1655"/>
      <c r="E41" s="1655"/>
      <c r="F41" s="1655"/>
      <c r="G41" s="1655"/>
      <c r="H41" s="1655"/>
      <c r="I41" s="1655"/>
      <c r="J41" s="1655"/>
      <c r="K41" s="1655"/>
      <c r="L41" s="1655"/>
      <c r="M41" s="2"/>
    </row>
    <row r="42" spans="1:24" ht="16.2">
      <c r="A42" s="5"/>
      <c r="B42" s="5" t="s">
        <v>64</v>
      </c>
      <c r="C42" s="5"/>
      <c r="D42" s="4"/>
      <c r="E42" s="4"/>
      <c r="F42" s="3"/>
      <c r="G42" s="3"/>
      <c r="H42" s="3"/>
      <c r="I42" s="2"/>
      <c r="J42" s="2"/>
      <c r="K42" s="2"/>
      <c r="L42" s="2"/>
      <c r="M42" s="2"/>
    </row>
    <row r="43" spans="1:24">
      <c r="H43"/>
      <c r="I43"/>
      <c r="J43"/>
      <c r="K43"/>
      <c r="L43"/>
      <c r="M43" s="1"/>
    </row>
    <row r="44" spans="1:24" ht="31.2">
      <c r="B44" s="36" t="s">
        <v>1544</v>
      </c>
      <c r="C44" s="279" t="s">
        <v>1707</v>
      </c>
      <c r="D44" s="279" t="s">
        <v>1706</v>
      </c>
      <c r="E44" s="279" t="s">
        <v>1570</v>
      </c>
      <c r="F44" s="36" t="s">
        <v>1633</v>
      </c>
      <c r="H44"/>
      <c r="I44"/>
      <c r="J44"/>
      <c r="K44"/>
      <c r="L44"/>
      <c r="M44" s="1"/>
    </row>
    <row r="45" spans="1:24">
      <c r="B45" s="36">
        <f>B18</f>
        <v>2019</v>
      </c>
      <c r="C45" s="1073">
        <f>C18-D18</f>
        <v>34200</v>
      </c>
      <c r="D45" s="1073">
        <f>C45*C33</f>
        <v>8818.0121474999996</v>
      </c>
      <c r="E45" s="1073">
        <f>E18+D45</f>
        <v>354608.01214750001</v>
      </c>
      <c r="F45" s="1073">
        <f>E45-F18</f>
        <v>3488.0121475000051</v>
      </c>
      <c r="H45"/>
      <c r="I45"/>
      <c r="J45"/>
      <c r="K45"/>
      <c r="L45"/>
      <c r="M45" s="1"/>
    </row>
    <row r="46" spans="1:24">
      <c r="B46" s="36">
        <f>B19</f>
        <v>2020</v>
      </c>
      <c r="C46" s="1073">
        <f>C19-D19</f>
        <v>56130</v>
      </c>
      <c r="D46" s="1073">
        <f>C46*C32</f>
        <v>33225.518028214283</v>
      </c>
      <c r="E46" s="1073">
        <f>E19+D46</f>
        <v>372795.51802821428</v>
      </c>
      <c r="F46" s="1073">
        <f>E46-F19</f>
        <v>27115.518028214283</v>
      </c>
      <c r="H46"/>
      <c r="I46"/>
      <c r="J46"/>
      <c r="K46"/>
      <c r="L46"/>
      <c r="M46" s="1"/>
      <c r="N46" s="1"/>
      <c r="O46" s="1"/>
      <c r="P46" s="1"/>
      <c r="Q46" s="1"/>
      <c r="R46" s="1"/>
      <c r="S46" s="1"/>
      <c r="T46" s="1"/>
      <c r="U46" s="1"/>
      <c r="V46" s="1"/>
      <c r="W46" s="1"/>
      <c r="X46" s="1"/>
    </row>
    <row r="47" spans="1:24">
      <c r="B47" s="36">
        <f>B20</f>
        <v>2021</v>
      </c>
      <c r="C47" s="1073">
        <f>C20-D20</f>
        <v>289800</v>
      </c>
      <c r="D47" s="1073">
        <f>C47*C31</f>
        <v>400056.80360867298</v>
      </c>
      <c r="E47" s="1073">
        <f>E20+D47</f>
        <v>400056.80360867298</v>
      </c>
      <c r="F47" s="1073">
        <f>E47-F20</f>
        <v>14412.803608672984</v>
      </c>
      <c r="H47"/>
      <c r="I47"/>
      <c r="J47"/>
      <c r="K47"/>
      <c r="L47"/>
      <c r="M47" s="1"/>
      <c r="N47" s="1"/>
      <c r="O47" s="1"/>
      <c r="P47" s="1"/>
      <c r="Q47" s="1"/>
      <c r="R47" s="1"/>
      <c r="S47" s="1"/>
      <c r="T47" s="1"/>
      <c r="U47" s="1"/>
      <c r="V47" s="1"/>
      <c r="W47" s="1"/>
      <c r="X47" s="1"/>
    </row>
    <row r="48" spans="1:24" ht="15.75" customHeight="1">
      <c r="B48" s="9"/>
      <c r="C48" s="1089"/>
      <c r="D48" s="1089"/>
      <c r="E48" s="1089"/>
      <c r="F48" s="1076">
        <f>SUM(F45:F47)</f>
        <v>45016.333784387272</v>
      </c>
      <c r="H48"/>
      <c r="I48"/>
      <c r="J48"/>
      <c r="K48"/>
      <c r="L48"/>
      <c r="M48" s="1"/>
      <c r="N48" s="1"/>
      <c r="O48" s="1"/>
      <c r="P48" s="1"/>
      <c r="Q48" s="1"/>
      <c r="R48" s="1"/>
      <c r="S48" s="1"/>
      <c r="T48" s="1"/>
      <c r="U48" s="1"/>
      <c r="V48" s="1"/>
      <c r="W48" s="1"/>
      <c r="X48" s="1"/>
    </row>
    <row r="49" spans="8:24" ht="15.75" customHeight="1">
      <c r="H49"/>
      <c r="I49"/>
      <c r="J49"/>
      <c r="K49"/>
      <c r="L49"/>
      <c r="M49" s="1"/>
      <c r="N49" s="1"/>
      <c r="O49" s="1"/>
      <c r="P49" s="1"/>
      <c r="Q49" s="1"/>
      <c r="R49" s="1"/>
      <c r="S49" s="1"/>
      <c r="T49" s="1"/>
      <c r="U49" s="1"/>
      <c r="V49" s="1"/>
      <c r="W49" s="1"/>
      <c r="X49" s="1"/>
    </row>
    <row r="50" spans="8:24" ht="15.75" customHeight="1">
      <c r="H50"/>
      <c r="I50"/>
      <c r="J50"/>
      <c r="K50"/>
      <c r="L50"/>
      <c r="M50" s="1"/>
      <c r="N50" s="1"/>
      <c r="O50" s="1"/>
      <c r="P50" s="1"/>
      <c r="Q50" s="1"/>
      <c r="R50" s="1"/>
      <c r="S50" s="1"/>
      <c r="T50" s="1"/>
      <c r="U50" s="1"/>
      <c r="V50" s="1"/>
      <c r="W50" s="1"/>
      <c r="X50" s="1"/>
    </row>
    <row r="51" spans="8:24" ht="15.75" customHeight="1">
      <c r="M51" s="1"/>
      <c r="N51" s="1"/>
      <c r="O51" s="1"/>
      <c r="P51" s="1"/>
      <c r="Q51" s="1"/>
      <c r="R51" s="1"/>
      <c r="S51" s="1"/>
      <c r="T51" s="1"/>
      <c r="U51" s="1"/>
      <c r="V51" s="1"/>
      <c r="W51" s="1"/>
      <c r="X51" s="1"/>
    </row>
    <row r="52" spans="8:24" ht="15.75" customHeight="1">
      <c r="M52" s="1"/>
      <c r="N52" s="1"/>
      <c r="O52" s="1"/>
      <c r="P52" s="1"/>
      <c r="Q52" s="1"/>
      <c r="R52" s="1"/>
      <c r="S52" s="1"/>
      <c r="T52" s="1"/>
      <c r="U52" s="1"/>
      <c r="V52" s="1"/>
      <c r="W52" s="1"/>
      <c r="X52" s="1"/>
    </row>
    <row r="53" spans="8:24" ht="15.75" customHeight="1">
      <c r="M53" s="1"/>
      <c r="N53" s="1"/>
      <c r="O53" s="1"/>
      <c r="P53" s="1"/>
      <c r="Q53" s="1"/>
      <c r="R53" s="1"/>
      <c r="S53" s="1"/>
      <c r="T53" s="1"/>
      <c r="U53" s="1"/>
      <c r="V53" s="1"/>
      <c r="W53" s="1"/>
      <c r="X53" s="1"/>
    </row>
    <row r="54" spans="8:24" ht="15.75" customHeight="1">
      <c r="M54" s="1"/>
      <c r="N54" s="1"/>
      <c r="O54" s="1"/>
      <c r="P54" s="1"/>
      <c r="Q54" s="1"/>
      <c r="R54" s="1"/>
      <c r="S54" s="1"/>
      <c r="T54" s="1"/>
      <c r="U54" s="1"/>
      <c r="V54" s="1"/>
      <c r="W54" s="1"/>
      <c r="X54" s="1"/>
    </row>
    <row r="55" spans="8:24" ht="15.75" customHeight="1">
      <c r="M55" s="1"/>
      <c r="N55" s="1"/>
      <c r="O55" s="1"/>
      <c r="P55" s="1"/>
      <c r="Q55" s="1"/>
      <c r="R55" s="1"/>
      <c r="S55" s="1"/>
      <c r="T55" s="1"/>
      <c r="U55" s="1"/>
      <c r="V55" s="1"/>
      <c r="W55" s="1"/>
      <c r="X55" s="1"/>
    </row>
    <row r="56" spans="8:24" ht="15.75" customHeight="1">
      <c r="M56" s="1"/>
      <c r="N56" s="1"/>
      <c r="O56" s="1"/>
      <c r="P56" s="1"/>
      <c r="Q56" s="1"/>
      <c r="R56" s="1"/>
      <c r="S56" s="1"/>
      <c r="T56" s="1"/>
      <c r="U56" s="1"/>
      <c r="V56" s="1"/>
      <c r="W56" s="1"/>
      <c r="X56" s="1"/>
    </row>
    <row r="57" spans="8:24" ht="15.75" customHeight="1">
      <c r="M57" s="1"/>
      <c r="N57" s="1"/>
      <c r="O57" s="1"/>
      <c r="P57" s="1"/>
      <c r="Q57" s="1"/>
      <c r="R57" s="1"/>
      <c r="S57" s="1"/>
      <c r="T57" s="1"/>
      <c r="U57" s="1"/>
      <c r="V57" s="1"/>
      <c r="W57" s="1"/>
      <c r="X57" s="1"/>
    </row>
    <row r="58" spans="8:24" ht="15.75" customHeight="1">
      <c r="M58" s="1"/>
      <c r="N58" s="1"/>
      <c r="O58" s="1"/>
      <c r="P58" s="1"/>
      <c r="Q58" s="1"/>
      <c r="R58" s="1"/>
      <c r="S58" s="1"/>
      <c r="T58" s="1"/>
      <c r="U58" s="1"/>
      <c r="V58" s="1"/>
      <c r="W58" s="1"/>
      <c r="X58" s="1"/>
    </row>
    <row r="59" spans="8:24" ht="15.75" customHeight="1">
      <c r="M59" s="1"/>
      <c r="N59" s="1"/>
      <c r="O59" s="1"/>
      <c r="P59" s="1"/>
      <c r="Q59" s="1"/>
      <c r="R59" s="1"/>
      <c r="S59" s="1"/>
      <c r="T59" s="1"/>
      <c r="U59" s="1"/>
      <c r="V59" s="1"/>
      <c r="W59" s="1"/>
      <c r="X59" s="1"/>
    </row>
    <row r="60" spans="8:24" ht="15.75" customHeight="1"/>
    <row r="61" spans="8:24" ht="15.75" customHeight="1"/>
    <row r="62" spans="8:24" ht="15.75" customHeight="1"/>
    <row r="63" spans="8:24" ht="15.75" customHeight="1"/>
    <row r="64" spans="8:24" ht="15.75" customHeight="1"/>
    <row r="65" ht="15.75" customHeight="1"/>
    <row r="66" ht="15.75" customHeight="1"/>
  </sheetData>
  <mergeCells count="10">
    <mergeCell ref="B22:L22"/>
    <mergeCell ref="B36:L36"/>
    <mergeCell ref="B38:M40"/>
    <mergeCell ref="B41:L41"/>
    <mergeCell ref="A3:L3"/>
    <mergeCell ref="A5:D5"/>
    <mergeCell ref="A6:C6"/>
    <mergeCell ref="A7:C7"/>
    <mergeCell ref="A8:C8"/>
    <mergeCell ref="A9:C9"/>
  </mergeCell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B2E9-755F-41F5-93F1-CC30B0F5A1F8}">
  <dimension ref="A1:X54"/>
  <sheetViews>
    <sheetView zoomScaleNormal="100" workbookViewId="0"/>
  </sheetViews>
  <sheetFormatPr defaultColWidth="9.109375" defaultRowHeight="15.6"/>
  <cols>
    <col min="1" max="1" width="7.88671875" style="1" customWidth="1"/>
    <col min="2" max="12" width="11.6640625" style="1" customWidth="1"/>
    <col min="13" max="13" width="11.6640625" customWidth="1"/>
    <col min="25" max="16384" width="9.109375" style="1"/>
  </cols>
  <sheetData>
    <row r="1" spans="1:24" ht="15.75" customHeight="1">
      <c r="A1" s="23" t="s">
        <v>1280</v>
      </c>
      <c r="B1" s="22"/>
      <c r="C1" s="5" t="s">
        <v>38</v>
      </c>
      <c r="D1" s="22"/>
      <c r="E1" s="22"/>
      <c r="F1" s="22"/>
      <c r="G1" s="22"/>
      <c r="H1" s="22"/>
      <c r="I1" s="22"/>
      <c r="J1" s="22"/>
      <c r="K1" s="22"/>
      <c r="L1" s="2"/>
      <c r="M1" s="2"/>
    </row>
    <row r="2" spans="1:24" ht="15.75" customHeight="1">
      <c r="A2" s="21"/>
      <c r="B2" s="21"/>
      <c r="C2" s="21"/>
      <c r="D2" s="21"/>
      <c r="E2" s="21"/>
      <c r="F2" s="21"/>
      <c r="G2" s="21"/>
      <c r="H2" s="21"/>
      <c r="I2" s="21"/>
      <c r="J2" s="21"/>
      <c r="K2" s="21"/>
      <c r="L2" s="2"/>
      <c r="M2" s="2"/>
    </row>
    <row r="3" spans="1:24">
      <c r="A3" s="1873" t="s">
        <v>1764</v>
      </c>
      <c r="B3" s="1873"/>
      <c r="C3" s="1873"/>
      <c r="D3" s="1873"/>
      <c r="E3" s="1873"/>
      <c r="F3" s="1873"/>
      <c r="G3" s="1873"/>
      <c r="H3" s="1873"/>
      <c r="I3" s="1873"/>
      <c r="J3" s="1873"/>
      <c r="K3" s="1873"/>
      <c r="L3" s="1873"/>
      <c r="M3" s="2"/>
    </row>
    <row r="4" spans="1:24">
      <c r="A4" s="21"/>
      <c r="B4" s="136"/>
      <c r="C4" s="136"/>
      <c r="D4" s="136"/>
      <c r="E4" s="136"/>
      <c r="F4" s="136"/>
      <c r="G4" s="136"/>
      <c r="H4" s="136"/>
      <c r="I4" s="136"/>
      <c r="J4" s="136"/>
      <c r="K4" s="136"/>
      <c r="L4" s="136"/>
      <c r="M4" s="2"/>
    </row>
    <row r="5" spans="1:24">
      <c r="A5" s="214" t="s">
        <v>80</v>
      </c>
      <c r="B5" s="1655" t="s">
        <v>1763</v>
      </c>
      <c r="C5" s="1655"/>
      <c r="D5" s="1655"/>
      <c r="E5" s="1655"/>
      <c r="F5" s="1655"/>
      <c r="G5" s="1655"/>
      <c r="H5" s="1655"/>
      <c r="I5" s="1655"/>
      <c r="J5" s="1655"/>
      <c r="K5" s="1655"/>
      <c r="L5" s="1655"/>
      <c r="M5" s="2"/>
    </row>
    <row r="6" spans="1:24" ht="16.2">
      <c r="A6" s="3"/>
      <c r="B6" s="5" t="s">
        <v>64</v>
      </c>
      <c r="C6" s="44"/>
      <c r="D6" s="44"/>
      <c r="E6" s="44"/>
      <c r="F6" s="44"/>
      <c r="G6" s="44"/>
      <c r="H6" s="44"/>
      <c r="I6" s="44"/>
      <c r="J6" s="44"/>
      <c r="K6" s="44"/>
      <c r="L6" s="44"/>
      <c r="M6" s="2"/>
    </row>
    <row r="7" spans="1:24">
      <c r="B7" s="1685" t="s">
        <v>1762</v>
      </c>
      <c r="C7" s="1686"/>
      <c r="D7" s="1686"/>
      <c r="E7" s="1686"/>
      <c r="F7" s="1686"/>
      <c r="G7" s="1686"/>
      <c r="H7" s="1686"/>
      <c r="I7" s="1686"/>
      <c r="J7" s="1686"/>
      <c r="K7" s="1686"/>
      <c r="L7" s="1686"/>
      <c r="M7" s="1686"/>
    </row>
    <row r="8" spans="1:24">
      <c r="B8" s="1686"/>
      <c r="C8" s="1686"/>
      <c r="D8" s="1686"/>
      <c r="E8" s="1686"/>
      <c r="F8" s="1686"/>
      <c r="G8" s="1686"/>
      <c r="H8" s="1686"/>
      <c r="I8" s="1686"/>
      <c r="J8" s="1686"/>
      <c r="K8" s="1686"/>
      <c r="L8" s="1686"/>
      <c r="M8" s="1686"/>
    </row>
    <row r="9" spans="1:24">
      <c r="B9" s="1686"/>
      <c r="C9" s="1686"/>
      <c r="D9" s="1686"/>
      <c r="E9" s="1686"/>
      <c r="F9" s="1686"/>
      <c r="G9" s="1686"/>
      <c r="H9" s="1686"/>
      <c r="I9" s="1686"/>
      <c r="J9" s="1686"/>
      <c r="K9" s="1686"/>
      <c r="L9" s="1686"/>
      <c r="M9" s="1686"/>
    </row>
    <row r="10" spans="1:24">
      <c r="A10" s="214" t="s">
        <v>9</v>
      </c>
      <c r="B10" s="1655" t="s">
        <v>1761</v>
      </c>
      <c r="C10" s="1655"/>
      <c r="D10" s="1655"/>
      <c r="E10" s="1655"/>
      <c r="F10" s="1655"/>
      <c r="G10" s="1655"/>
      <c r="H10" s="1655"/>
      <c r="I10" s="1655"/>
      <c r="J10" s="1655"/>
      <c r="K10" s="1655"/>
      <c r="L10" s="1655"/>
      <c r="M10" s="2"/>
      <c r="N10" s="1"/>
      <c r="O10" s="1"/>
      <c r="P10" s="1"/>
      <c r="Q10" s="1"/>
      <c r="R10" s="1"/>
      <c r="S10" s="1"/>
      <c r="T10" s="1"/>
      <c r="U10" s="1"/>
      <c r="V10" s="1"/>
      <c r="W10" s="1"/>
      <c r="X10" s="1"/>
    </row>
    <row r="11" spans="1:24" ht="15.6" customHeight="1">
      <c r="A11" s="3"/>
      <c r="B11" s="5" t="s">
        <v>64</v>
      </c>
      <c r="C11" s="44"/>
      <c r="D11" s="44"/>
      <c r="E11" s="44"/>
      <c r="F11" s="44"/>
      <c r="G11" s="44"/>
      <c r="H11" s="44"/>
      <c r="I11" s="44"/>
      <c r="J11" s="44"/>
      <c r="K11" s="44"/>
      <c r="L11" s="44"/>
      <c r="M11" s="2"/>
      <c r="N11" s="1"/>
      <c r="O11" s="1"/>
      <c r="P11" s="1"/>
      <c r="Q11" s="1"/>
      <c r="R11" s="1"/>
      <c r="S11" s="1"/>
      <c r="T11" s="1"/>
      <c r="U11" s="1"/>
      <c r="V11" s="1"/>
      <c r="W11" s="1"/>
      <c r="X11" s="1"/>
    </row>
    <row r="12" spans="1:24">
      <c r="B12" s="1685" t="s">
        <v>1760</v>
      </c>
      <c r="C12" s="1686"/>
      <c r="D12" s="1686"/>
      <c r="E12" s="1686"/>
      <c r="F12" s="1686"/>
      <c r="G12" s="1686"/>
      <c r="H12" s="1686"/>
      <c r="I12" s="1686"/>
      <c r="J12" s="1686"/>
      <c r="K12" s="1686"/>
      <c r="L12" s="1686"/>
      <c r="M12" s="1686"/>
      <c r="N12" s="1"/>
      <c r="O12" s="1"/>
      <c r="P12" s="1"/>
      <c r="Q12" s="1"/>
      <c r="R12" s="1"/>
      <c r="S12" s="1"/>
      <c r="T12" s="1"/>
      <c r="U12" s="1"/>
      <c r="V12" s="1"/>
      <c r="W12" s="1"/>
      <c r="X12" s="1"/>
    </row>
    <row r="13" spans="1:24">
      <c r="B13" s="1686"/>
      <c r="C13" s="1686"/>
      <c r="D13" s="1686"/>
      <c r="E13" s="1686"/>
      <c r="F13" s="1686"/>
      <c r="G13" s="1686"/>
      <c r="H13" s="1686"/>
      <c r="I13" s="1686"/>
      <c r="J13" s="1686"/>
      <c r="K13" s="1686"/>
      <c r="L13" s="1686"/>
      <c r="M13" s="1686"/>
      <c r="N13" s="1"/>
      <c r="O13" s="1"/>
      <c r="P13" s="1"/>
      <c r="Q13" s="1"/>
      <c r="R13" s="1"/>
      <c r="S13" s="1"/>
      <c r="T13" s="1"/>
      <c r="U13" s="1"/>
      <c r="V13" s="1"/>
      <c r="W13" s="1"/>
      <c r="X13" s="1"/>
    </row>
    <row r="14" spans="1:24">
      <c r="B14" s="1686"/>
      <c r="C14" s="1686"/>
      <c r="D14" s="1686"/>
      <c r="E14" s="1686"/>
      <c r="F14" s="1686"/>
      <c r="G14" s="1686"/>
      <c r="H14" s="1686"/>
      <c r="I14" s="1686"/>
      <c r="J14" s="1686"/>
      <c r="K14" s="1686"/>
      <c r="L14" s="1686"/>
      <c r="M14" s="1686"/>
      <c r="N14" s="1"/>
      <c r="O14" s="1"/>
      <c r="P14" s="1"/>
      <c r="Q14" s="1"/>
      <c r="R14" s="1"/>
      <c r="S14" s="1"/>
      <c r="T14" s="1"/>
      <c r="U14" s="1"/>
      <c r="V14" s="1"/>
      <c r="W14" s="1"/>
      <c r="X14" s="1"/>
    </row>
    <row r="15" spans="1:24">
      <c r="A15" s="1655" t="s">
        <v>1759</v>
      </c>
      <c r="B15" s="1655"/>
      <c r="C15" s="1655"/>
      <c r="D15" s="1655"/>
      <c r="E15" s="1655"/>
      <c r="F15" s="1655"/>
      <c r="G15" s="1655"/>
      <c r="H15" s="1655"/>
      <c r="I15" s="1655"/>
      <c r="J15" s="1655"/>
      <c r="K15" s="1655"/>
      <c r="L15" s="1655"/>
      <c r="M15" s="1655"/>
      <c r="N15" s="1"/>
      <c r="O15" s="1"/>
      <c r="P15" s="1"/>
      <c r="Q15" s="1"/>
      <c r="R15" s="1"/>
      <c r="S15" s="1"/>
      <c r="T15" s="1"/>
      <c r="U15" s="1"/>
      <c r="V15" s="1"/>
      <c r="W15" s="1"/>
      <c r="X15" s="1"/>
    </row>
    <row r="16" spans="1:24">
      <c r="A16" s="1655"/>
      <c r="B16" s="1655"/>
      <c r="C16" s="1655"/>
      <c r="D16" s="1655"/>
      <c r="E16" s="1655"/>
      <c r="F16" s="1655"/>
      <c r="G16" s="1655"/>
      <c r="H16" s="1655"/>
      <c r="I16" s="1655"/>
      <c r="J16" s="1655"/>
      <c r="K16" s="1655"/>
      <c r="L16" s="1655"/>
      <c r="M16" s="1655"/>
      <c r="N16" s="1"/>
      <c r="O16" s="1"/>
      <c r="P16" s="1"/>
      <c r="Q16" s="1"/>
      <c r="R16" s="1"/>
      <c r="S16" s="1"/>
      <c r="T16" s="1"/>
      <c r="U16" s="1"/>
      <c r="V16" s="1"/>
      <c r="W16" s="1"/>
      <c r="X16" s="1"/>
    </row>
    <row r="17" spans="1:24">
      <c r="A17" s="1655"/>
      <c r="B17" s="1655"/>
      <c r="C17" s="1655"/>
      <c r="D17" s="1655"/>
      <c r="E17" s="1655"/>
      <c r="F17" s="1655"/>
      <c r="G17" s="1655"/>
      <c r="H17" s="1655"/>
      <c r="I17" s="1655"/>
      <c r="J17" s="1655"/>
      <c r="K17" s="1655"/>
      <c r="L17" s="1655"/>
      <c r="M17" s="1655"/>
      <c r="N17" s="1"/>
      <c r="O17" s="1"/>
      <c r="P17" s="1"/>
      <c r="Q17" s="1"/>
      <c r="R17" s="1"/>
      <c r="S17" s="1"/>
      <c r="T17" s="1"/>
      <c r="U17" s="1"/>
      <c r="V17" s="1"/>
      <c r="W17" s="1"/>
      <c r="X17" s="1"/>
    </row>
    <row r="18" spans="1:24" ht="15.6" customHeight="1">
      <c r="A18" s="1655" t="s">
        <v>1758</v>
      </c>
      <c r="B18" s="1655"/>
      <c r="C18" s="1655"/>
      <c r="D18" s="1655"/>
      <c r="E18" s="1655"/>
      <c r="F18" s="1655"/>
      <c r="G18" s="1655"/>
      <c r="H18" s="1655"/>
      <c r="I18" s="1655"/>
      <c r="J18" s="1655"/>
      <c r="K18" s="1655"/>
      <c r="L18" s="1655"/>
      <c r="M18" s="1655"/>
      <c r="N18" s="1"/>
      <c r="O18" s="1"/>
      <c r="P18" s="1"/>
      <c r="Q18" s="1"/>
      <c r="R18" s="1"/>
      <c r="S18" s="1"/>
      <c r="T18" s="1"/>
      <c r="U18" s="1"/>
      <c r="V18" s="1"/>
      <c r="W18" s="1"/>
      <c r="X18" s="1"/>
    </row>
    <row r="19" spans="1:24">
      <c r="A19" s="1655"/>
      <c r="B19" s="1655"/>
      <c r="C19" s="1655"/>
      <c r="D19" s="1655"/>
      <c r="E19" s="1655"/>
      <c r="F19" s="1655"/>
      <c r="G19" s="1655"/>
      <c r="H19" s="1655"/>
      <c r="I19" s="1655"/>
      <c r="J19" s="1655"/>
      <c r="K19" s="1655"/>
      <c r="L19" s="1655"/>
      <c r="M19" s="1655"/>
      <c r="N19" s="1"/>
      <c r="O19" s="1"/>
      <c r="P19" s="1"/>
      <c r="Q19" s="1"/>
      <c r="R19" s="1"/>
      <c r="S19" s="1"/>
      <c r="T19" s="1"/>
      <c r="U19" s="1"/>
      <c r="V19" s="1"/>
      <c r="W19" s="1"/>
      <c r="X19" s="1"/>
    </row>
    <row r="20" spans="1:24">
      <c r="A20" s="45"/>
      <c r="B20" s="45"/>
      <c r="C20" s="45"/>
      <c r="D20" s="45"/>
      <c r="E20" s="45"/>
      <c r="F20" s="45"/>
      <c r="G20" s="45"/>
      <c r="H20" s="45"/>
      <c r="I20" s="45"/>
      <c r="J20" s="45"/>
      <c r="K20" s="45"/>
      <c r="L20" s="45"/>
      <c r="M20" s="45"/>
      <c r="N20" s="1"/>
      <c r="O20" s="1"/>
      <c r="P20" s="1"/>
      <c r="Q20" s="1"/>
      <c r="R20" s="1"/>
      <c r="S20" s="1"/>
      <c r="T20" s="1"/>
      <c r="U20" s="1"/>
      <c r="V20" s="1"/>
      <c r="W20" s="1"/>
      <c r="X20" s="1"/>
    </row>
    <row r="21" spans="1:24">
      <c r="A21" s="3" t="s">
        <v>1757</v>
      </c>
      <c r="B21" s="3"/>
      <c r="C21" s="3"/>
      <c r="D21" s="3"/>
      <c r="E21" s="3"/>
      <c r="F21" s="3"/>
      <c r="G21" s="3"/>
      <c r="H21" s="3"/>
      <c r="I21" s="3"/>
      <c r="J21" s="2"/>
      <c r="K21" s="3"/>
      <c r="L21" s="2"/>
      <c r="M21" s="2"/>
      <c r="N21" s="1"/>
      <c r="O21" s="1"/>
      <c r="P21" s="1"/>
      <c r="Q21" s="1"/>
      <c r="R21" s="1"/>
      <c r="S21" s="1"/>
      <c r="T21" s="1"/>
      <c r="U21" s="1"/>
      <c r="V21" s="1"/>
      <c r="W21" s="1"/>
      <c r="X21" s="1"/>
    </row>
    <row r="22" spans="1:24">
      <c r="A22" s="3"/>
      <c r="B22" s="484" t="s">
        <v>1756</v>
      </c>
      <c r="C22" s="3"/>
      <c r="D22" s="3"/>
      <c r="E22" s="3"/>
      <c r="F22" s="3"/>
      <c r="G22" s="3"/>
      <c r="H22" s="3"/>
      <c r="I22" s="3"/>
      <c r="J22" s="2"/>
      <c r="K22" s="3"/>
      <c r="L22" s="2"/>
      <c r="M22" s="2"/>
      <c r="N22" s="1"/>
      <c r="O22" s="1"/>
      <c r="P22" s="1"/>
      <c r="Q22" s="1"/>
      <c r="R22" s="1"/>
      <c r="S22" s="1"/>
      <c r="T22" s="1"/>
      <c r="U22" s="1"/>
      <c r="V22" s="1"/>
      <c r="W22" s="1"/>
      <c r="X22" s="1"/>
    </row>
    <row r="23" spans="1:24">
      <c r="A23" s="3"/>
      <c r="B23" s="1113">
        <v>0.4</v>
      </c>
      <c r="C23" s="1112" t="s">
        <v>1755</v>
      </c>
      <c r="D23" s="1111"/>
      <c r="E23" s="1110"/>
      <c r="F23" s="3"/>
      <c r="G23" s="3"/>
      <c r="H23" s="3"/>
      <c r="I23" s="3"/>
      <c r="J23" s="2"/>
      <c r="K23" s="3"/>
      <c r="L23" s="2"/>
      <c r="M23" s="2"/>
      <c r="N23" s="1"/>
      <c r="O23" s="1"/>
      <c r="P23" s="1"/>
      <c r="Q23" s="1"/>
      <c r="R23" s="1"/>
      <c r="S23" s="1"/>
      <c r="T23" s="1"/>
      <c r="U23" s="1"/>
      <c r="V23" s="1"/>
      <c r="W23" s="1"/>
      <c r="X23" s="1"/>
    </row>
    <row r="24" spans="1:24">
      <c r="A24" s="3"/>
      <c r="B24" s="1113">
        <v>0.25</v>
      </c>
      <c r="C24" s="1112" t="s">
        <v>1754</v>
      </c>
      <c r="D24" s="1111"/>
      <c r="E24" s="1110"/>
      <c r="F24" s="3"/>
      <c r="G24" s="3"/>
      <c r="H24" s="3"/>
      <c r="I24" s="3"/>
      <c r="J24" s="2"/>
      <c r="K24" s="3"/>
      <c r="L24" s="2"/>
      <c r="M24" s="2"/>
      <c r="N24" s="1"/>
      <c r="O24" s="1"/>
      <c r="P24" s="1"/>
      <c r="Q24" s="1"/>
      <c r="R24" s="1"/>
      <c r="S24" s="1"/>
      <c r="T24" s="1"/>
      <c r="U24" s="1"/>
      <c r="V24" s="1"/>
      <c r="W24" s="1"/>
      <c r="X24" s="1"/>
    </row>
    <row r="25" spans="1:24">
      <c r="A25" s="3"/>
      <c r="B25" s="1113">
        <v>0.2</v>
      </c>
      <c r="C25" s="1112" t="s">
        <v>1753</v>
      </c>
      <c r="D25" s="1111"/>
      <c r="E25" s="1110"/>
      <c r="F25" s="3"/>
      <c r="G25" s="3"/>
      <c r="H25" s="3"/>
      <c r="I25" s="3"/>
      <c r="J25" s="2"/>
      <c r="K25" s="3"/>
      <c r="L25" s="2"/>
      <c r="M25" s="2"/>
      <c r="N25" s="1"/>
      <c r="O25" s="1"/>
      <c r="P25" s="1"/>
      <c r="Q25" s="1"/>
      <c r="R25" s="1"/>
      <c r="S25" s="1"/>
      <c r="T25" s="1"/>
      <c r="U25" s="1"/>
      <c r="V25" s="1"/>
      <c r="W25" s="1"/>
      <c r="X25" s="1"/>
    </row>
    <row r="26" spans="1:24">
      <c r="A26" s="3"/>
      <c r="B26" s="1113">
        <v>0.15</v>
      </c>
      <c r="C26" s="1112" t="s">
        <v>1752</v>
      </c>
      <c r="D26" s="1111"/>
      <c r="E26" s="1110"/>
      <c r="F26" s="3"/>
      <c r="G26" s="3"/>
      <c r="H26" s="3"/>
      <c r="I26" s="3"/>
      <c r="J26" s="2"/>
      <c r="K26" s="3"/>
      <c r="L26" s="2"/>
      <c r="M26" s="2"/>
      <c r="N26" s="1"/>
      <c r="O26" s="1"/>
      <c r="P26" s="1"/>
      <c r="Q26" s="1"/>
      <c r="R26" s="1"/>
      <c r="S26" s="1"/>
      <c r="T26" s="1"/>
      <c r="U26" s="1"/>
      <c r="V26" s="1"/>
      <c r="W26" s="1"/>
      <c r="X26" s="1"/>
    </row>
    <row r="27" spans="1:24">
      <c r="A27" s="3"/>
      <c r="B27" s="3"/>
      <c r="C27" s="3"/>
      <c r="D27" s="3"/>
      <c r="E27" s="3"/>
      <c r="F27" s="3"/>
      <c r="G27" s="3"/>
      <c r="H27" s="3"/>
      <c r="I27" s="3"/>
      <c r="J27" s="2"/>
      <c r="K27" s="3"/>
      <c r="L27" s="2"/>
      <c r="M27" s="2"/>
      <c r="N27" s="1"/>
      <c r="O27" s="1"/>
      <c r="P27" s="1"/>
      <c r="Q27" s="1"/>
      <c r="R27" s="1"/>
      <c r="S27" s="1"/>
      <c r="T27" s="1"/>
      <c r="U27" s="1"/>
      <c r="V27" s="1"/>
      <c r="W27" s="1"/>
      <c r="X27" s="1"/>
    </row>
    <row r="28" spans="1:24">
      <c r="A28" s="3"/>
      <c r="B28" s="484" t="s">
        <v>1751</v>
      </c>
      <c r="C28" s="3"/>
      <c r="D28" s="3"/>
      <c r="E28" s="3"/>
      <c r="F28" s="3"/>
      <c r="G28" s="3"/>
      <c r="H28" s="3"/>
      <c r="I28" s="3"/>
      <c r="J28" s="2"/>
      <c r="K28" s="6" t="s">
        <v>1750</v>
      </c>
      <c r="L28" s="1109">
        <v>8.5000000000000006E-2</v>
      </c>
      <c r="M28" s="2"/>
      <c r="N28" s="1"/>
      <c r="O28" s="1"/>
      <c r="P28" s="1"/>
      <c r="Q28" s="1"/>
      <c r="R28" s="1"/>
      <c r="S28" s="1"/>
      <c r="T28" s="1"/>
      <c r="U28" s="1"/>
      <c r="V28" s="1"/>
      <c r="W28" s="1"/>
      <c r="X28" s="1"/>
    </row>
    <row r="29" spans="1:24">
      <c r="A29" s="3"/>
      <c r="B29" s="3"/>
      <c r="C29" s="3"/>
      <c r="D29" s="3"/>
      <c r="E29" s="3"/>
      <c r="F29" s="3"/>
      <c r="G29" s="3"/>
      <c r="H29" s="3"/>
      <c r="I29" s="3"/>
      <c r="J29" s="2"/>
      <c r="K29" s="3"/>
      <c r="L29" s="2"/>
      <c r="M29" s="2"/>
      <c r="N29" s="1"/>
      <c r="O29" s="1"/>
      <c r="P29" s="1"/>
      <c r="Q29" s="1"/>
      <c r="R29" s="1"/>
      <c r="S29" s="1"/>
      <c r="T29" s="1"/>
      <c r="U29" s="1"/>
      <c r="V29" s="1"/>
      <c r="W29" s="1"/>
      <c r="X29" s="1"/>
    </row>
    <row r="30" spans="1:24">
      <c r="A30" s="3" t="s">
        <v>7</v>
      </c>
      <c r="B30" s="3" t="s">
        <v>1749</v>
      </c>
      <c r="C30" s="3"/>
      <c r="D30" s="3"/>
      <c r="E30" s="3"/>
      <c r="F30" s="3"/>
      <c r="G30" s="3"/>
      <c r="H30" s="3"/>
      <c r="I30" s="2"/>
      <c r="J30" s="2"/>
      <c r="K30" s="2"/>
      <c r="L30" s="2"/>
      <c r="M30" s="2"/>
      <c r="N30" s="1"/>
      <c r="O30" s="1"/>
      <c r="P30" s="1"/>
      <c r="Q30" s="1"/>
      <c r="R30" s="1"/>
      <c r="S30" s="1"/>
      <c r="T30" s="1"/>
      <c r="U30" s="1"/>
      <c r="V30" s="1"/>
      <c r="W30" s="1"/>
      <c r="X30" s="1"/>
    </row>
    <row r="31" spans="1:24" ht="16.2">
      <c r="A31" s="3"/>
      <c r="B31" s="5" t="s">
        <v>64</v>
      </c>
      <c r="C31" s="44"/>
      <c r="D31" s="44"/>
      <c r="E31" s="44"/>
      <c r="F31" s="44"/>
      <c r="G31" s="44"/>
      <c r="H31" s="44"/>
      <c r="I31" s="44"/>
      <c r="J31" s="44"/>
      <c r="K31" s="44"/>
      <c r="L31" s="44"/>
      <c r="M31" s="2"/>
      <c r="N31" s="1"/>
      <c r="O31" s="1"/>
      <c r="P31" s="1"/>
      <c r="Q31" s="1"/>
      <c r="R31" s="1"/>
      <c r="S31" s="1"/>
      <c r="T31" s="1"/>
      <c r="U31" s="1"/>
      <c r="V31" s="1"/>
      <c r="W31" s="1"/>
      <c r="X31" s="1"/>
    </row>
    <row r="32" spans="1:24">
      <c r="M32" s="1"/>
    </row>
    <row r="33" spans="1:16">
      <c r="B33" s="1" t="s">
        <v>1748</v>
      </c>
      <c r="C33" s="1108">
        <f>1+L28</f>
        <v>1.085</v>
      </c>
      <c r="E33" s="1" t="s">
        <v>1747</v>
      </c>
    </row>
    <row r="34" spans="1:16">
      <c r="C34" s="1108"/>
    </row>
    <row r="35" spans="1:16">
      <c r="C35" s="1" t="s">
        <v>1746</v>
      </c>
      <c r="M35" s="1"/>
    </row>
    <row r="36" spans="1:16">
      <c r="C36" s="1107" t="s">
        <v>1335</v>
      </c>
      <c r="D36" s="277" t="s">
        <v>1745</v>
      </c>
      <c r="E36" s="277" t="s">
        <v>1744</v>
      </c>
      <c r="F36" s="277" t="s">
        <v>1743</v>
      </c>
      <c r="G36" s="277" t="s">
        <v>1739</v>
      </c>
      <c r="H36" s="277" t="s">
        <v>1742</v>
      </c>
      <c r="I36" s="277" t="s">
        <v>1741</v>
      </c>
      <c r="J36" s="277" t="s">
        <v>1740</v>
      </c>
      <c r="M36" s="1"/>
    </row>
    <row r="37" spans="1:16">
      <c r="C37" s="1">
        <v>0</v>
      </c>
      <c r="D37" s="940">
        <f>100*B23</f>
        <v>40</v>
      </c>
      <c r="E37" s="1106">
        <f t="shared" ref="E37:G40" si="0">D37*$C$33</f>
        <v>43.4</v>
      </c>
      <c r="F37" s="1106">
        <f t="shared" si="0"/>
        <v>47.088999999999999</v>
      </c>
      <c r="G37" s="1106">
        <f t="shared" si="0"/>
        <v>51.091564999999996</v>
      </c>
      <c r="L37" s="940"/>
      <c r="M37" s="940"/>
    </row>
    <row r="38" spans="1:16">
      <c r="C38" s="1">
        <v>1</v>
      </c>
      <c r="D38" s="940">
        <f>100*B24</f>
        <v>25</v>
      </c>
      <c r="E38" s="1106">
        <f t="shared" si="0"/>
        <v>27.125</v>
      </c>
      <c r="F38" s="1106">
        <f t="shared" si="0"/>
        <v>29.430624999999999</v>
      </c>
      <c r="G38" s="1106">
        <f t="shared" si="0"/>
        <v>31.932228124999998</v>
      </c>
      <c r="H38" s="1106">
        <f>G38*$C$33</f>
        <v>34.646467515624998</v>
      </c>
      <c r="L38" s="940"/>
      <c r="M38" s="1106"/>
      <c r="N38" s="1106"/>
      <c r="O38" s="1"/>
      <c r="P38" s="1"/>
    </row>
    <row r="39" spans="1:16">
      <c r="C39" s="1">
        <v>2</v>
      </c>
      <c r="D39" s="940">
        <f>100*B25</f>
        <v>20</v>
      </c>
      <c r="E39" s="1106">
        <f t="shared" si="0"/>
        <v>21.7</v>
      </c>
      <c r="F39" s="1106">
        <f t="shared" si="0"/>
        <v>23.544499999999999</v>
      </c>
      <c r="G39" s="1106">
        <f t="shared" si="0"/>
        <v>25.545782499999998</v>
      </c>
      <c r="H39" s="1106">
        <f>G39*$C$33</f>
        <v>27.717174012499996</v>
      </c>
      <c r="I39" s="1106">
        <f>H39*$C$33</f>
        <v>30.073133803562495</v>
      </c>
      <c r="L39" s="940"/>
      <c r="M39" s="1106"/>
      <c r="N39" s="1106"/>
      <c r="O39" s="1106"/>
      <c r="P39" s="1"/>
    </row>
    <row r="40" spans="1:16">
      <c r="C40" s="1">
        <v>3</v>
      </c>
      <c r="D40" s="940">
        <f>100*B26</f>
        <v>15</v>
      </c>
      <c r="E40" s="1106">
        <f t="shared" si="0"/>
        <v>16.274999999999999</v>
      </c>
      <c r="F40" s="1106">
        <f t="shared" si="0"/>
        <v>17.658374999999999</v>
      </c>
      <c r="G40" s="1106">
        <f t="shared" si="0"/>
        <v>19.159336874999997</v>
      </c>
      <c r="H40" s="1106">
        <f>G40*$C$33</f>
        <v>20.787880509374997</v>
      </c>
      <c r="I40" s="1106">
        <f>H40*$C$33</f>
        <v>22.55485035267187</v>
      </c>
      <c r="J40" s="1106">
        <f>I40*$C$33</f>
        <v>24.47201263264898</v>
      </c>
      <c r="L40" s="940"/>
      <c r="M40" s="1106"/>
      <c r="N40" s="1106"/>
      <c r="O40" s="1106"/>
      <c r="P40" s="1106"/>
    </row>
    <row r="41" spans="1:16">
      <c r="M41" s="1"/>
    </row>
    <row r="42" spans="1:16">
      <c r="D42" s="277" t="s">
        <v>1142</v>
      </c>
      <c r="M42" s="1"/>
    </row>
    <row r="43" spans="1:16">
      <c r="C43" s="1" t="s">
        <v>1739</v>
      </c>
      <c r="D43" s="1106">
        <f>SUM(G37:G40)</f>
        <v>127.72891249999999</v>
      </c>
      <c r="M43" s="1106"/>
    </row>
    <row r="44" spans="1:16">
      <c r="C44" s="1" t="s">
        <v>1738</v>
      </c>
      <c r="D44" s="1106">
        <f>G37+H38+I39+J40</f>
        <v>140.28317895183648</v>
      </c>
      <c r="M44" s="1106"/>
    </row>
    <row r="45" spans="1:16">
      <c r="D45" s="1106"/>
      <c r="M45" s="1"/>
    </row>
    <row r="46" spans="1:16">
      <c r="C46" s="1" t="s">
        <v>1737</v>
      </c>
      <c r="F46" s="1105">
        <f>D43/D44</f>
        <v>0.91050768491533296</v>
      </c>
      <c r="G46" s="1" t="s">
        <v>1736</v>
      </c>
      <c r="M46" s="1"/>
    </row>
    <row r="47" spans="1:16">
      <c r="M47" s="1"/>
    </row>
    <row r="48" spans="1:16" ht="31.2" customHeight="1">
      <c r="A48" s="1655" t="s">
        <v>1735</v>
      </c>
      <c r="B48" s="1655"/>
      <c r="C48" s="1655"/>
      <c r="D48" s="1655"/>
      <c r="E48" s="1655"/>
      <c r="F48" s="1655"/>
      <c r="G48" s="1655"/>
      <c r="H48" s="1655"/>
      <c r="I48" s="1655"/>
      <c r="J48" s="1655"/>
      <c r="K48" s="1655"/>
      <c r="L48" s="1655"/>
      <c r="M48" s="1655"/>
    </row>
    <row r="49" spans="1:13">
      <c r="A49" s="45"/>
      <c r="B49" s="45"/>
      <c r="C49" s="45"/>
      <c r="D49" s="45"/>
      <c r="E49" s="45"/>
      <c r="F49" s="45"/>
      <c r="G49" s="45"/>
      <c r="H49" s="45"/>
      <c r="I49" s="45"/>
      <c r="J49" s="45"/>
      <c r="K49" s="45"/>
      <c r="L49" s="45"/>
      <c r="M49" s="45"/>
    </row>
    <row r="50" spans="1:13" ht="31.2" customHeight="1">
      <c r="A50" s="1104" t="s">
        <v>4</v>
      </c>
      <c r="B50" s="1877" t="s">
        <v>1734</v>
      </c>
      <c r="C50" s="1877"/>
      <c r="D50" s="1877"/>
      <c r="E50" s="1877"/>
      <c r="F50" s="1877"/>
      <c r="G50" s="1877"/>
      <c r="H50" s="1877"/>
      <c r="I50" s="1877"/>
      <c r="J50" s="1877"/>
      <c r="K50" s="1877"/>
      <c r="L50" s="1877"/>
      <c r="M50" s="1877"/>
    </row>
    <row r="51" spans="1:13" ht="16.2">
      <c r="A51" s="3"/>
      <c r="B51" s="5" t="s">
        <v>64</v>
      </c>
      <c r="C51" s="44"/>
      <c r="D51" s="44"/>
      <c r="E51" s="44"/>
      <c r="F51" s="44"/>
      <c r="G51" s="44"/>
      <c r="H51" s="44"/>
      <c r="I51" s="44"/>
      <c r="J51" s="44"/>
      <c r="K51" s="44"/>
      <c r="L51" s="44"/>
      <c r="M51" s="2"/>
    </row>
    <row r="52" spans="1:13">
      <c r="B52" s="1685" t="s">
        <v>1733</v>
      </c>
      <c r="C52" s="1685"/>
      <c r="D52" s="1685"/>
      <c r="E52" s="1685"/>
      <c r="F52" s="1685"/>
      <c r="G52" s="1685"/>
      <c r="H52" s="1685"/>
      <c r="I52" s="1685"/>
      <c r="J52" s="1685"/>
      <c r="K52" s="1685"/>
      <c r="L52" s="1685"/>
      <c r="M52" s="1685"/>
    </row>
    <row r="53" spans="1:13">
      <c r="B53" s="1685"/>
      <c r="C53" s="1685"/>
      <c r="D53" s="1685"/>
      <c r="E53" s="1685"/>
      <c r="F53" s="1685"/>
      <c r="G53" s="1685"/>
      <c r="H53" s="1685"/>
      <c r="I53" s="1685"/>
      <c r="J53" s="1685"/>
      <c r="K53" s="1685"/>
      <c r="L53" s="1685"/>
      <c r="M53" s="1685"/>
    </row>
    <row r="54" spans="1:13">
      <c r="B54" s="1685"/>
      <c r="C54" s="1685"/>
      <c r="D54" s="1685"/>
      <c r="E54" s="1685"/>
      <c r="F54" s="1685"/>
      <c r="G54" s="1685"/>
      <c r="H54" s="1685"/>
      <c r="I54" s="1685"/>
      <c r="J54" s="1685"/>
      <c r="K54" s="1685"/>
      <c r="L54" s="1685"/>
      <c r="M54" s="1685"/>
    </row>
  </sheetData>
  <mergeCells count="10">
    <mergeCell ref="A18:M19"/>
    <mergeCell ref="A48:M48"/>
    <mergeCell ref="B50:M50"/>
    <mergeCell ref="B52:M54"/>
    <mergeCell ref="A3:L3"/>
    <mergeCell ref="B5:L5"/>
    <mergeCell ref="B7:M9"/>
    <mergeCell ref="B10:L10"/>
    <mergeCell ref="B12:M14"/>
    <mergeCell ref="A15:M17"/>
  </mergeCells>
  <pageMargins left="0.7" right="0.7" top="0.75" bottom="0.75" header="0.3" footer="0.3"/>
  <pageSetup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D4E55-5F26-420E-A460-36B4FB800905}">
  <dimension ref="A1:Y54"/>
  <sheetViews>
    <sheetView zoomScaleNormal="100" workbookViewId="0"/>
  </sheetViews>
  <sheetFormatPr defaultColWidth="9.109375" defaultRowHeight="15.6"/>
  <cols>
    <col min="1" max="1" width="8.109375" style="1" customWidth="1"/>
    <col min="2" max="2" width="16.44140625" style="1" customWidth="1"/>
    <col min="3" max="11" width="14.6640625" style="1" customWidth="1"/>
    <col min="12" max="13" width="9.109375" style="1"/>
    <col min="14" max="14" width="8.88671875" style="57" bestFit="1" customWidth="1"/>
    <col min="15" max="25" width="9.109375" style="57"/>
    <col min="26" max="16384" width="9.109375" style="1"/>
  </cols>
  <sheetData>
    <row r="1" spans="1:13" ht="15.75" customHeight="1">
      <c r="A1" s="23" t="s">
        <v>1705</v>
      </c>
      <c r="B1" s="22"/>
      <c r="C1" s="5" t="s">
        <v>38</v>
      </c>
      <c r="D1" s="22"/>
      <c r="E1" s="22"/>
      <c r="F1" s="22"/>
      <c r="G1" s="22"/>
      <c r="H1" s="22"/>
      <c r="I1" s="22"/>
      <c r="J1" s="22"/>
      <c r="K1" s="22"/>
      <c r="L1" s="22"/>
      <c r="M1" s="2"/>
    </row>
    <row r="2" spans="1:13" ht="15.75" customHeight="1">
      <c r="A2" s="21"/>
      <c r="B2" s="21"/>
      <c r="C2" s="21"/>
      <c r="D2" s="21"/>
      <c r="E2" s="21"/>
      <c r="F2" s="21"/>
      <c r="G2" s="21"/>
      <c r="H2" s="21"/>
      <c r="I2" s="21"/>
      <c r="J2" s="21"/>
      <c r="K2" s="21"/>
      <c r="L2" s="21"/>
      <c r="M2" s="2"/>
    </row>
    <row r="3" spans="1:13">
      <c r="A3" s="1873" t="s">
        <v>1793</v>
      </c>
      <c r="B3" s="1873"/>
      <c r="C3" s="1873"/>
      <c r="D3" s="1873"/>
      <c r="E3" s="1873"/>
      <c r="F3" s="1873"/>
      <c r="G3" s="1873"/>
      <c r="H3" s="1873"/>
      <c r="I3" s="1873"/>
      <c r="J3" s="1873"/>
      <c r="K3" s="1873"/>
      <c r="L3" s="1873"/>
      <c r="M3" s="1873"/>
    </row>
    <row r="4" spans="1:13" s="57" customFormat="1">
      <c r="A4" s="21"/>
      <c r="B4" s="47"/>
      <c r="C4" s="21"/>
      <c r="D4" s="21"/>
      <c r="E4" s="21"/>
      <c r="F4" s="21"/>
      <c r="G4" s="21"/>
      <c r="H4" s="21"/>
      <c r="I4" s="21"/>
      <c r="J4" s="21"/>
      <c r="K4" s="21"/>
      <c r="L4" s="21"/>
      <c r="M4" s="2"/>
    </row>
    <row r="5" spans="1:13" s="57" customFormat="1">
      <c r="A5" s="214" t="s">
        <v>80</v>
      </c>
      <c r="B5" s="1655" t="s">
        <v>1792</v>
      </c>
      <c r="C5" s="1655"/>
      <c r="D5" s="1655"/>
      <c r="E5" s="1655"/>
      <c r="F5" s="1655"/>
      <c r="G5" s="1655"/>
      <c r="H5" s="1655"/>
      <c r="I5" s="1655"/>
      <c r="J5" s="1655"/>
      <c r="K5" s="1655"/>
      <c r="L5" s="1655"/>
      <c r="M5" s="1655"/>
    </row>
    <row r="6" spans="1:13" s="57" customFormat="1" ht="16.2">
      <c r="A6" s="3"/>
      <c r="B6" s="5" t="s">
        <v>64</v>
      </c>
      <c r="C6" s="44"/>
      <c r="D6" s="44"/>
      <c r="E6" s="44"/>
      <c r="F6" s="44"/>
      <c r="G6" s="44"/>
      <c r="H6" s="44"/>
      <c r="I6" s="44"/>
      <c r="J6" s="44"/>
      <c r="K6" s="44"/>
      <c r="L6" s="44"/>
      <c r="M6" s="2"/>
    </row>
    <row r="7" spans="1:13" s="57" customFormat="1">
      <c r="A7" s="1"/>
      <c r="B7" s="1685" t="s">
        <v>1791</v>
      </c>
      <c r="C7" s="1685"/>
      <c r="D7" s="1685"/>
      <c r="E7" s="1685"/>
      <c r="F7" s="1685"/>
      <c r="G7" s="1685"/>
      <c r="H7" s="1685"/>
      <c r="I7" s="1685"/>
      <c r="J7" s="1685"/>
      <c r="K7" s="1685"/>
      <c r="L7" s="1685"/>
      <c r="M7" s="1685"/>
    </row>
    <row r="8" spans="1:13" s="57" customFormat="1">
      <c r="A8" s="1"/>
      <c r="B8" s="1685"/>
      <c r="C8" s="1685"/>
      <c r="D8" s="1685"/>
      <c r="E8" s="1685"/>
      <c r="F8" s="1685"/>
      <c r="G8" s="1685"/>
      <c r="H8" s="1685"/>
      <c r="I8" s="1685"/>
      <c r="J8" s="1685"/>
      <c r="K8" s="1685"/>
      <c r="L8" s="1685"/>
      <c r="M8" s="1685"/>
    </row>
    <row r="9" spans="1:13" s="57" customFormat="1" ht="15.6" customHeight="1">
      <c r="A9" s="1"/>
      <c r="B9" s="1685"/>
      <c r="C9" s="1685"/>
      <c r="D9" s="1685"/>
      <c r="E9" s="1685"/>
      <c r="F9" s="1685"/>
      <c r="G9" s="1685"/>
      <c r="H9" s="1685"/>
      <c r="I9" s="1685"/>
      <c r="J9" s="1685"/>
      <c r="K9" s="1685"/>
      <c r="L9" s="1685"/>
      <c r="M9" s="1685"/>
    </row>
    <row r="10" spans="1:13" s="57" customFormat="1">
      <c r="A10" s="214" t="s">
        <v>9</v>
      </c>
      <c r="B10" s="1655" t="s">
        <v>1790</v>
      </c>
      <c r="C10" s="1655"/>
      <c r="D10" s="1655"/>
      <c r="E10" s="1655"/>
      <c r="F10" s="1655"/>
      <c r="G10" s="1655"/>
      <c r="H10" s="1655"/>
      <c r="I10" s="1655"/>
      <c r="J10" s="1655"/>
      <c r="K10" s="1655"/>
      <c r="L10" s="1655"/>
      <c r="M10" s="1655"/>
    </row>
    <row r="11" spans="1:13" s="57" customFormat="1">
      <c r="A11" s="1084"/>
      <c r="B11" s="47" t="s">
        <v>1789</v>
      </c>
      <c r="C11" s="45"/>
      <c r="D11" s="45"/>
      <c r="E11" s="45"/>
      <c r="F11" s="45"/>
      <c r="G11" s="45"/>
      <c r="H11" s="45"/>
      <c r="I11" s="45"/>
      <c r="J11" s="45"/>
      <c r="K11" s="45"/>
      <c r="L11" s="45"/>
      <c r="M11" s="45"/>
    </row>
    <row r="12" spans="1:13" s="57" customFormat="1">
      <c r="A12" s="214"/>
      <c r="B12" s="47" t="s">
        <v>1788</v>
      </c>
      <c r="C12" s="45"/>
      <c r="D12" s="45"/>
      <c r="E12" s="45"/>
      <c r="F12" s="45"/>
      <c r="G12" s="45"/>
      <c r="H12" s="45"/>
      <c r="I12" s="45"/>
      <c r="J12" s="45"/>
      <c r="K12" s="45"/>
      <c r="L12" s="45"/>
      <c r="M12" s="45"/>
    </row>
    <row r="13" spans="1:13" s="57" customFormat="1" ht="16.2">
      <c r="A13" s="5"/>
      <c r="B13" s="5" t="s">
        <v>64</v>
      </c>
      <c r="C13" s="5"/>
      <c r="D13" s="4"/>
      <c r="E13" s="4"/>
      <c r="F13" s="4"/>
      <c r="G13" s="4"/>
      <c r="H13" s="3"/>
      <c r="I13" s="3"/>
      <c r="J13" s="2"/>
      <c r="K13" s="2"/>
      <c r="L13" s="3"/>
      <c r="M13" s="2"/>
    </row>
    <row r="14" spans="1:13" s="57" customFormat="1">
      <c r="A14" s="1"/>
      <c r="B14" s="1685" t="s">
        <v>1787</v>
      </c>
      <c r="C14" s="1686"/>
      <c r="D14" s="1686"/>
      <c r="E14" s="1686"/>
      <c r="F14" s="1686"/>
      <c r="G14" s="1686"/>
      <c r="H14" s="1686"/>
      <c r="I14" s="1686"/>
      <c r="J14" s="1686"/>
      <c r="K14" s="1686"/>
      <c r="L14" s="1686"/>
      <c r="M14" s="1686"/>
    </row>
    <row r="15" spans="1:13" s="57" customFormat="1">
      <c r="A15" s="1"/>
      <c r="B15" s="1686"/>
      <c r="C15" s="1686"/>
      <c r="D15" s="1686"/>
      <c r="E15" s="1686"/>
      <c r="F15" s="1686"/>
      <c r="G15" s="1686"/>
      <c r="H15" s="1686"/>
      <c r="I15" s="1686"/>
      <c r="J15" s="1686"/>
      <c r="K15" s="1686"/>
      <c r="L15" s="1686"/>
      <c r="M15" s="1686"/>
    </row>
    <row r="16" spans="1:13" s="57" customFormat="1">
      <c r="A16" s="1"/>
      <c r="B16" s="1686"/>
      <c r="C16" s="1686"/>
      <c r="D16" s="1686"/>
      <c r="E16" s="1686"/>
      <c r="F16" s="1686"/>
      <c r="G16" s="1686"/>
      <c r="H16" s="1686"/>
      <c r="I16" s="1686"/>
      <c r="J16" s="1686"/>
      <c r="K16" s="1686"/>
      <c r="L16" s="1686"/>
      <c r="M16" s="1686"/>
    </row>
    <row r="17" spans="1:13" s="57" customFormat="1">
      <c r="A17" s="3" t="s">
        <v>1786</v>
      </c>
      <c r="B17" s="3"/>
      <c r="C17" s="3"/>
      <c r="D17" s="3"/>
      <c r="E17" s="3"/>
      <c r="F17" s="3"/>
      <c r="G17" s="3"/>
      <c r="H17" s="3"/>
      <c r="I17" s="3"/>
      <c r="J17" s="2"/>
      <c r="K17" s="3"/>
      <c r="L17" s="2"/>
      <c r="M17" s="2"/>
    </row>
    <row r="18" spans="1:13" s="57" customFormat="1">
      <c r="A18" s="3"/>
      <c r="B18" s="3"/>
      <c r="C18" s="3"/>
      <c r="D18" s="3"/>
      <c r="E18" s="3"/>
      <c r="F18" s="3"/>
      <c r="G18" s="3"/>
      <c r="H18" s="3"/>
      <c r="I18" s="3"/>
      <c r="J18" s="2"/>
      <c r="K18" s="3"/>
      <c r="L18" s="2"/>
      <c r="M18" s="2"/>
    </row>
    <row r="19" spans="1:13" s="57" customFormat="1" ht="27.6">
      <c r="A19" s="3"/>
      <c r="B19" s="1129" t="s">
        <v>1771</v>
      </c>
      <c r="C19" s="1129" t="s">
        <v>1770</v>
      </c>
      <c r="D19" s="1129" t="s">
        <v>1769</v>
      </c>
      <c r="E19" s="1129" t="s">
        <v>1768</v>
      </c>
      <c r="F19" s="1880" t="s">
        <v>1785</v>
      </c>
      <c r="G19" s="1880"/>
      <c r="H19" s="1880"/>
      <c r="I19" s="3"/>
      <c r="J19" s="2"/>
      <c r="K19" s="3"/>
      <c r="L19" s="2"/>
      <c r="M19" s="2"/>
    </row>
    <row r="20" spans="1:13" s="57" customFormat="1">
      <c r="A20" s="3"/>
      <c r="B20" s="1128" t="s">
        <v>1231</v>
      </c>
      <c r="C20" s="1127">
        <v>600000</v>
      </c>
      <c r="D20" s="1127">
        <v>500000</v>
      </c>
      <c r="E20" s="1127">
        <v>1000</v>
      </c>
      <c r="F20" s="1878" t="s">
        <v>1784</v>
      </c>
      <c r="G20" s="1878"/>
      <c r="H20" s="1878"/>
      <c r="I20" s="3"/>
      <c r="J20" s="2"/>
      <c r="K20" s="3"/>
      <c r="L20" s="2"/>
      <c r="M20" s="2"/>
    </row>
    <row r="21" spans="1:13" s="57" customFormat="1">
      <c r="A21" s="3"/>
      <c r="B21" s="1128" t="s">
        <v>1230</v>
      </c>
      <c r="C21" s="1127">
        <v>600000</v>
      </c>
      <c r="D21" s="1127">
        <v>500000</v>
      </c>
      <c r="E21" s="1127">
        <v>1000</v>
      </c>
      <c r="F21" s="1878" t="s">
        <v>1783</v>
      </c>
      <c r="G21" s="1878"/>
      <c r="H21" s="1878"/>
      <c r="I21" s="3"/>
      <c r="J21" s="2"/>
      <c r="K21" s="3"/>
      <c r="L21" s="2"/>
      <c r="M21" s="2"/>
    </row>
    <row r="22" spans="1:13" s="57" customFormat="1">
      <c r="A22" s="3"/>
      <c r="B22" s="1128" t="s">
        <v>1229</v>
      </c>
      <c r="C22" s="1127">
        <v>600000</v>
      </c>
      <c r="D22" s="1127">
        <v>500000</v>
      </c>
      <c r="E22" s="1127">
        <v>2000</v>
      </c>
      <c r="F22" s="1878" t="s">
        <v>1782</v>
      </c>
      <c r="G22" s="1878"/>
      <c r="H22" s="1878"/>
      <c r="I22" s="3"/>
      <c r="J22" s="2"/>
      <c r="K22" s="3"/>
      <c r="L22" s="2"/>
      <c r="M22" s="2"/>
    </row>
    <row r="23" spans="1:13" s="57" customFormat="1">
      <c r="A23" s="3"/>
      <c r="B23" s="1128" t="s">
        <v>1781</v>
      </c>
      <c r="C23" s="1127">
        <v>600000</v>
      </c>
      <c r="D23" s="1127">
        <v>500000</v>
      </c>
      <c r="E23" s="1127">
        <v>2000</v>
      </c>
      <c r="F23" s="1878" t="s">
        <v>1780</v>
      </c>
      <c r="G23" s="1878"/>
      <c r="H23" s="1878"/>
      <c r="I23" s="3"/>
      <c r="J23" s="2"/>
      <c r="K23" s="3"/>
      <c r="L23" s="2"/>
      <c r="M23" s="2"/>
    </row>
    <row r="24" spans="1:13" s="57" customFormat="1">
      <c r="A24" s="3"/>
      <c r="B24" s="1126"/>
      <c r="C24" s="1125"/>
      <c r="D24" s="1125"/>
      <c r="E24" s="1125"/>
      <c r="F24" s="1124"/>
      <c r="G24" s="1124"/>
      <c r="H24" s="1124"/>
      <c r="I24" s="3"/>
      <c r="J24" s="2"/>
      <c r="K24" s="3"/>
      <c r="L24" s="2"/>
      <c r="M24" s="2"/>
    </row>
    <row r="25" spans="1:13" s="57" customFormat="1">
      <c r="A25" s="3"/>
      <c r="B25" s="21" t="s">
        <v>1779</v>
      </c>
      <c r="C25" s="1125"/>
      <c r="D25" s="1125"/>
      <c r="E25" s="1125"/>
      <c r="F25" s="1124"/>
      <c r="G25" s="1124"/>
      <c r="H25" s="1124"/>
      <c r="I25" s="3"/>
      <c r="J25" s="2"/>
      <c r="K25" s="3"/>
      <c r="L25" s="2"/>
      <c r="M25" s="2"/>
    </row>
    <row r="26" spans="1:13" s="57" customFormat="1">
      <c r="A26" s="3"/>
      <c r="B26" s="484" t="s">
        <v>1778</v>
      </c>
      <c r="C26" s="1125"/>
      <c r="D26" s="1125"/>
      <c r="E26" s="1125"/>
      <c r="F26" s="1124"/>
      <c r="G26" s="1124"/>
      <c r="H26" s="1124"/>
      <c r="I26" s="3"/>
      <c r="J26" s="2"/>
      <c r="K26" s="3"/>
      <c r="L26" s="2"/>
      <c r="M26" s="2"/>
    </row>
    <row r="27" spans="1:13" s="57" customFormat="1">
      <c r="A27" s="3"/>
      <c r="B27" s="484" t="s">
        <v>1777</v>
      </c>
      <c r="C27" s="1125"/>
      <c r="D27" s="1125"/>
      <c r="E27" s="1125"/>
      <c r="F27" s="1124"/>
      <c r="G27" s="1124"/>
      <c r="H27" s="1124"/>
      <c r="I27" s="3"/>
      <c r="J27" s="2"/>
      <c r="K27" s="3"/>
      <c r="L27" s="2"/>
      <c r="M27" s="2"/>
    </row>
    <row r="28" spans="1:13" s="57" customFormat="1">
      <c r="A28" s="3"/>
      <c r="B28" s="484" t="s">
        <v>1776</v>
      </c>
      <c r="C28" s="3"/>
      <c r="D28" s="3"/>
      <c r="E28" s="3"/>
      <c r="F28" s="3"/>
      <c r="G28" s="3"/>
      <c r="H28" s="3"/>
      <c r="I28" s="3"/>
      <c r="J28" s="2"/>
      <c r="K28" s="3"/>
      <c r="L28" s="2"/>
      <c r="M28" s="2"/>
    </row>
    <row r="29" spans="1:13" s="57" customFormat="1">
      <c r="A29" s="3"/>
      <c r="B29" s="1123"/>
      <c r="C29" s="3"/>
      <c r="D29" s="3"/>
      <c r="E29" s="3"/>
      <c r="F29" s="3"/>
      <c r="G29" s="3"/>
      <c r="H29" s="3"/>
      <c r="I29" s="3"/>
      <c r="J29" s="2"/>
      <c r="K29" s="3"/>
      <c r="L29" s="2"/>
      <c r="M29" s="2"/>
    </row>
    <row r="30" spans="1:13">
      <c r="A30" s="214" t="s">
        <v>7</v>
      </c>
      <c r="B30" s="1655" t="s">
        <v>1775</v>
      </c>
      <c r="C30" s="1655"/>
      <c r="D30" s="1655"/>
      <c r="E30" s="1655"/>
      <c r="F30" s="1655"/>
      <c r="G30" s="1655"/>
      <c r="H30" s="1655"/>
      <c r="I30" s="1655"/>
      <c r="J30" s="1655"/>
      <c r="K30" s="1655"/>
      <c r="L30" s="1655"/>
      <c r="M30" s="1655"/>
    </row>
    <row r="31" spans="1:13">
      <c r="A31" s="214"/>
      <c r="B31" s="47" t="s">
        <v>1774</v>
      </c>
      <c r="C31" s="45"/>
      <c r="D31" s="45"/>
      <c r="E31" s="45"/>
      <c r="F31" s="45"/>
      <c r="G31" s="45"/>
      <c r="H31" s="45"/>
      <c r="I31" s="45"/>
      <c r="J31" s="45"/>
      <c r="K31" s="45"/>
      <c r="L31" s="45"/>
      <c r="M31" s="45"/>
    </row>
    <row r="32" spans="1:13">
      <c r="A32" s="214"/>
      <c r="B32" s="47" t="s">
        <v>1773</v>
      </c>
      <c r="C32" s="45"/>
      <c r="D32" s="45"/>
      <c r="E32" s="45"/>
      <c r="F32" s="45"/>
      <c r="G32" s="45"/>
      <c r="H32" s="45"/>
      <c r="I32" s="45"/>
      <c r="J32" s="45"/>
      <c r="K32" s="45"/>
      <c r="L32" s="45"/>
      <c r="M32" s="45"/>
    </row>
    <row r="33" spans="1:25" ht="16.2">
      <c r="A33" s="5"/>
      <c r="B33" s="5" t="s">
        <v>64</v>
      </c>
      <c r="C33" s="5"/>
      <c r="D33" s="4"/>
      <c r="E33" s="4"/>
      <c r="F33" s="4"/>
      <c r="G33" s="4"/>
      <c r="H33" s="3"/>
      <c r="I33" s="3"/>
      <c r="J33" s="2"/>
      <c r="K33" s="2"/>
      <c r="L33" s="3"/>
      <c r="M33" s="2"/>
    </row>
    <row r="34" spans="1:25" ht="16.2">
      <c r="A34" s="5"/>
      <c r="B34" s="5"/>
      <c r="C34" s="5"/>
      <c r="D34" s="4"/>
      <c r="E34" s="4"/>
      <c r="F34" s="4"/>
      <c r="G34" s="4"/>
      <c r="H34" s="3"/>
      <c r="I34" s="3"/>
      <c r="J34" s="2"/>
      <c r="K34" s="2"/>
      <c r="L34" s="3"/>
      <c r="M34" s="2"/>
    </row>
    <row r="35" spans="1:25" ht="50.4" customHeight="1">
      <c r="H35" s="1879" t="s">
        <v>1772</v>
      </c>
      <c r="I35" s="1879"/>
      <c r="N35" s="1"/>
      <c r="O35" s="1"/>
      <c r="P35" s="1"/>
      <c r="Q35" s="1"/>
      <c r="R35" s="1"/>
      <c r="S35" s="1"/>
      <c r="T35" s="1"/>
      <c r="U35" s="1"/>
      <c r="V35" s="1"/>
      <c r="W35" s="1"/>
      <c r="X35" s="1"/>
      <c r="Y35" s="1"/>
    </row>
    <row r="36" spans="1:25" ht="36" customHeight="1">
      <c r="B36" s="1122" t="s">
        <v>1771</v>
      </c>
      <c r="C36" s="1122" t="s">
        <v>1770</v>
      </c>
      <c r="D36" s="1122" t="s">
        <v>1769</v>
      </c>
      <c r="E36" s="1122" t="s">
        <v>1768</v>
      </c>
      <c r="F36" s="1121" t="s">
        <v>1767</v>
      </c>
      <c r="G36" s="280" t="s">
        <v>1766</v>
      </c>
      <c r="H36" s="1120">
        <v>3500</v>
      </c>
      <c r="I36" s="1120">
        <v>350000</v>
      </c>
      <c r="N36" s="1"/>
      <c r="O36" s="1"/>
      <c r="P36" s="1"/>
      <c r="Q36" s="1"/>
      <c r="R36" s="1"/>
      <c r="S36" s="1"/>
      <c r="T36" s="1"/>
      <c r="U36" s="1"/>
      <c r="V36" s="1"/>
      <c r="W36" s="1"/>
      <c r="X36" s="1"/>
      <c r="Y36" s="1"/>
    </row>
    <row r="37" spans="1:25">
      <c r="B37" s="1118" t="str">
        <f t="shared" ref="B37:E40" si="0">B20</f>
        <v>A</v>
      </c>
      <c r="C37" s="1117">
        <f t="shared" si="0"/>
        <v>600000</v>
      </c>
      <c r="D37" s="1117">
        <f t="shared" si="0"/>
        <v>500000</v>
      </c>
      <c r="E37" s="1117">
        <f t="shared" si="0"/>
        <v>1000</v>
      </c>
      <c r="F37" s="1093">
        <v>0.85</v>
      </c>
      <c r="G37" s="1116">
        <f>MAX(0,1-D37/(F37*C37))</f>
        <v>1.9607843137254943E-2</v>
      </c>
      <c r="H37" s="1083">
        <f t="shared" ref="H37:I40" si="1">MAX(0,MIN(H$36*(1-$G37),$D37)-$E37)</f>
        <v>2431.3725490196075</v>
      </c>
      <c r="I37" s="1083">
        <f t="shared" si="1"/>
        <v>342137.25490196078</v>
      </c>
      <c r="N37" s="1"/>
      <c r="O37" s="1"/>
      <c r="P37" s="1"/>
      <c r="Q37" s="1"/>
      <c r="R37" s="1"/>
      <c r="S37" s="1"/>
      <c r="T37" s="1"/>
      <c r="U37" s="1"/>
      <c r="V37" s="1"/>
      <c r="W37" s="1"/>
      <c r="X37" s="1"/>
      <c r="Y37" s="1"/>
    </row>
    <row r="38" spans="1:25" ht="15.75" customHeight="1">
      <c r="B38" s="1118" t="str">
        <f t="shared" si="0"/>
        <v>B</v>
      </c>
      <c r="C38" s="1117">
        <f t="shared" si="0"/>
        <v>600000</v>
      </c>
      <c r="D38" s="1117">
        <f t="shared" si="0"/>
        <v>500000</v>
      </c>
      <c r="E38" s="1117">
        <f t="shared" si="0"/>
        <v>1000</v>
      </c>
      <c r="F38" s="1093">
        <v>1</v>
      </c>
      <c r="G38" s="1116">
        <f>MAX(0,1-D38/(F38*C38))</f>
        <v>0.16666666666666663</v>
      </c>
      <c r="H38" s="1083">
        <f t="shared" si="1"/>
        <v>1916.666666666667</v>
      </c>
      <c r="I38" s="1083">
        <f t="shared" si="1"/>
        <v>290666.66666666669</v>
      </c>
      <c r="N38" s="1"/>
      <c r="O38" s="1"/>
      <c r="P38" s="1"/>
      <c r="Q38" s="1"/>
      <c r="R38" s="1"/>
      <c r="S38" s="1"/>
      <c r="T38" s="1"/>
      <c r="U38" s="1"/>
      <c r="V38" s="1"/>
      <c r="W38" s="1"/>
      <c r="X38" s="1"/>
      <c r="Y38" s="1"/>
    </row>
    <row r="39" spans="1:25" ht="15.75" customHeight="1">
      <c r="B39" s="1118" t="str">
        <f t="shared" si="0"/>
        <v>C</v>
      </c>
      <c r="C39" s="1117">
        <f t="shared" si="0"/>
        <v>600000</v>
      </c>
      <c r="D39" s="1117">
        <f t="shared" si="0"/>
        <v>500000</v>
      </c>
      <c r="E39" s="1117">
        <f t="shared" si="0"/>
        <v>2000</v>
      </c>
      <c r="F39" s="25" t="s">
        <v>1765</v>
      </c>
      <c r="G39" s="1119">
        <v>0</v>
      </c>
      <c r="H39" s="1083">
        <f t="shared" si="1"/>
        <v>1500</v>
      </c>
      <c r="I39" s="1083">
        <f t="shared" si="1"/>
        <v>348000</v>
      </c>
      <c r="N39" s="1"/>
      <c r="O39" s="1"/>
      <c r="P39" s="1"/>
      <c r="Q39" s="1"/>
      <c r="R39" s="1"/>
      <c r="S39" s="1"/>
      <c r="T39" s="1"/>
      <c r="U39" s="1"/>
      <c r="V39" s="1"/>
      <c r="W39" s="1"/>
      <c r="X39" s="1"/>
      <c r="Y39" s="1"/>
    </row>
    <row r="40" spans="1:25" ht="15.75" customHeight="1">
      <c r="B40" s="1118" t="str">
        <f t="shared" si="0"/>
        <v>D</v>
      </c>
      <c r="C40" s="1117">
        <f t="shared" si="0"/>
        <v>600000</v>
      </c>
      <c r="D40" s="1117">
        <f t="shared" si="0"/>
        <v>500000</v>
      </c>
      <c r="E40" s="1117">
        <f t="shared" si="0"/>
        <v>2000</v>
      </c>
      <c r="F40" s="1093">
        <v>0.9</v>
      </c>
      <c r="G40" s="1116">
        <f>MAX(0,1-D40/(F40*C40))</f>
        <v>7.407407407407407E-2</v>
      </c>
      <c r="H40" s="1083">
        <f t="shared" si="1"/>
        <v>1240.7407407407409</v>
      </c>
      <c r="I40" s="1083">
        <f t="shared" si="1"/>
        <v>322074.0740740741</v>
      </c>
      <c r="N40" s="1"/>
      <c r="O40" s="1"/>
      <c r="P40" s="1"/>
      <c r="Q40" s="1"/>
      <c r="R40" s="1"/>
      <c r="S40" s="1"/>
      <c r="T40" s="1"/>
      <c r="U40" s="1"/>
      <c r="V40" s="1"/>
      <c r="W40" s="1"/>
      <c r="X40" s="1"/>
      <c r="Y40" s="1"/>
    </row>
    <row r="41" spans="1:25" ht="15.75" customHeight="1">
      <c r="G41" s="1115" t="s">
        <v>72</v>
      </c>
      <c r="H41" s="1114">
        <f>SUM(H37:H40)</f>
        <v>7088.7799564270153</v>
      </c>
      <c r="I41" s="1114">
        <f>SUM(I37:I40)</f>
        <v>1302877.9956427016</v>
      </c>
      <c r="N41" s="1"/>
      <c r="O41" s="1"/>
      <c r="P41" s="1"/>
      <c r="Q41" s="1"/>
      <c r="R41" s="1"/>
      <c r="S41" s="1"/>
      <c r="T41" s="1"/>
      <c r="U41" s="1"/>
      <c r="V41" s="1"/>
      <c r="W41" s="1"/>
      <c r="X41" s="1"/>
      <c r="Y41" s="1"/>
    </row>
    <row r="42" spans="1:25" ht="15.75" customHeight="1">
      <c r="H42" s="277" t="s">
        <v>350</v>
      </c>
      <c r="I42" s="277" t="s">
        <v>344</v>
      </c>
      <c r="N42" s="1"/>
      <c r="O42" s="1"/>
      <c r="P42" s="1"/>
      <c r="Q42" s="1"/>
      <c r="R42" s="1"/>
      <c r="S42" s="1"/>
      <c r="T42" s="1"/>
      <c r="U42" s="1"/>
      <c r="V42" s="1"/>
      <c r="W42" s="1"/>
      <c r="X42" s="1"/>
      <c r="Y42" s="1"/>
    </row>
    <row r="43" spans="1:25" ht="15.75" customHeight="1">
      <c r="G43" s="1107"/>
      <c r="N43" s="1"/>
      <c r="O43" s="1"/>
      <c r="P43" s="1"/>
      <c r="Q43" s="1"/>
      <c r="R43" s="1"/>
      <c r="S43" s="1"/>
      <c r="T43" s="1"/>
      <c r="U43" s="1"/>
      <c r="V43" s="1"/>
      <c r="W43" s="1"/>
      <c r="X43" s="1"/>
      <c r="Y43" s="1"/>
    </row>
    <row r="44" spans="1:25" ht="15.75" customHeight="1">
      <c r="N44" s="1"/>
      <c r="O44" s="1"/>
      <c r="P44" s="1"/>
      <c r="Q44" s="1"/>
      <c r="R44" s="1"/>
      <c r="S44" s="1"/>
      <c r="T44" s="1"/>
      <c r="U44" s="1"/>
      <c r="V44" s="1"/>
      <c r="W44" s="1"/>
      <c r="X44" s="1"/>
      <c r="Y44" s="1"/>
    </row>
    <row r="45" spans="1:25" ht="15.75" customHeight="1">
      <c r="N45" s="1"/>
      <c r="O45" s="1"/>
      <c r="P45" s="1"/>
      <c r="Q45" s="1"/>
      <c r="R45" s="1"/>
      <c r="S45" s="1"/>
      <c r="T45" s="1"/>
      <c r="U45" s="1"/>
      <c r="V45" s="1"/>
      <c r="W45" s="1"/>
      <c r="X45" s="1"/>
      <c r="Y45" s="1"/>
    </row>
    <row r="46" spans="1:25" ht="15.75" customHeight="1">
      <c r="N46" s="1"/>
      <c r="O46" s="1"/>
      <c r="P46" s="1"/>
      <c r="Q46" s="1"/>
      <c r="R46" s="1"/>
      <c r="S46" s="1"/>
      <c r="T46" s="1"/>
      <c r="U46" s="1"/>
      <c r="V46" s="1"/>
      <c r="W46" s="1"/>
      <c r="X46" s="1"/>
      <c r="Y46" s="1"/>
    </row>
    <row r="47" spans="1:25" ht="15.75" customHeight="1">
      <c r="N47" s="1"/>
      <c r="O47" s="1"/>
      <c r="P47" s="1"/>
      <c r="Q47" s="1"/>
      <c r="R47" s="1"/>
      <c r="S47" s="1"/>
      <c r="T47" s="1"/>
      <c r="U47" s="1"/>
      <c r="V47" s="1"/>
      <c r="W47" s="1"/>
      <c r="X47" s="1"/>
      <c r="Y47" s="1"/>
    </row>
    <row r="48" spans="1:25" ht="15.75" customHeight="1"/>
    <row r="49" ht="15.75" customHeight="1"/>
    <row r="50" ht="15.75" customHeight="1"/>
    <row r="51" ht="15.75" customHeight="1"/>
    <row r="52" ht="15.75" customHeight="1"/>
    <row r="53" ht="15.75" customHeight="1"/>
    <row r="54" ht="15.75" customHeight="1"/>
  </sheetData>
  <mergeCells count="12">
    <mergeCell ref="F23:H23"/>
    <mergeCell ref="B30:M30"/>
    <mergeCell ref="H35:I35"/>
    <mergeCell ref="A3:M3"/>
    <mergeCell ref="B5:M5"/>
    <mergeCell ref="B7:M9"/>
    <mergeCell ref="B10:M10"/>
    <mergeCell ref="B14:M16"/>
    <mergeCell ref="F19:H19"/>
    <mergeCell ref="F20:H20"/>
    <mergeCell ref="F21:H21"/>
    <mergeCell ref="F22:H2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D6418-4909-4A10-82C8-22D90215AB0D}">
  <dimension ref="A1:AB188"/>
  <sheetViews>
    <sheetView workbookViewId="0"/>
  </sheetViews>
  <sheetFormatPr defaultColWidth="9.109375" defaultRowHeight="15.6"/>
  <cols>
    <col min="1" max="1" width="10.33203125" style="1" customWidth="1"/>
    <col min="2" max="12" width="13.44140625" style="1" customWidth="1"/>
    <col min="13" max="13" width="20.44140625" style="1" customWidth="1"/>
    <col min="14" max="14" width="18.44140625" style="1" customWidth="1"/>
    <col min="15" max="20" width="8.88671875" style="1" customWidth="1"/>
    <col min="21" max="21" width="10.5546875" style="1" customWidth="1"/>
    <col min="22" max="22" width="10.6640625" style="1" customWidth="1"/>
    <col min="23" max="26" width="8.88671875" style="1" customWidth="1"/>
    <col min="27" max="16384" width="9.109375" style="1"/>
  </cols>
  <sheetData>
    <row r="1" spans="1:28" ht="18">
      <c r="A1" s="23" t="s">
        <v>42</v>
      </c>
      <c r="B1" s="22"/>
      <c r="C1" s="5" t="s">
        <v>38</v>
      </c>
      <c r="D1" s="22"/>
      <c r="E1" s="22"/>
      <c r="F1" s="22"/>
      <c r="G1" s="22"/>
      <c r="H1" s="22"/>
      <c r="I1" s="22"/>
      <c r="J1" s="22"/>
      <c r="K1" s="2"/>
      <c r="L1" s="2"/>
      <c r="M1" s="2"/>
      <c r="N1" s="2"/>
      <c r="O1"/>
      <c r="P1"/>
      <c r="Q1"/>
      <c r="R1"/>
      <c r="S1"/>
      <c r="T1"/>
      <c r="U1"/>
      <c r="V1"/>
      <c r="W1"/>
      <c r="X1"/>
      <c r="Y1"/>
      <c r="Z1"/>
      <c r="AA1"/>
      <c r="AB1"/>
    </row>
    <row r="2" spans="1:28" ht="16.2">
      <c r="A2" s="21"/>
      <c r="B2" s="3"/>
      <c r="C2" s="3"/>
      <c r="D2" s="3"/>
      <c r="E2" s="3"/>
      <c r="F2" s="3"/>
      <c r="G2" s="3"/>
      <c r="H2" s="19"/>
      <c r="I2" s="19"/>
      <c r="J2" s="4"/>
      <c r="K2" s="4"/>
      <c r="L2" s="4"/>
      <c r="M2" s="2"/>
      <c r="N2" s="2"/>
      <c r="O2"/>
      <c r="P2"/>
      <c r="Q2"/>
      <c r="R2"/>
      <c r="S2"/>
      <c r="T2"/>
      <c r="U2"/>
      <c r="V2"/>
      <c r="W2"/>
      <c r="X2"/>
      <c r="Y2"/>
      <c r="Z2"/>
      <c r="AA2"/>
      <c r="AB2"/>
    </row>
    <row r="3" spans="1:28" ht="16.2">
      <c r="A3" s="21" t="s">
        <v>41</v>
      </c>
      <c r="B3" s="3"/>
      <c r="C3" s="3"/>
      <c r="D3" s="3"/>
      <c r="E3" s="3"/>
      <c r="F3" s="3"/>
      <c r="G3" s="3"/>
      <c r="H3" s="19"/>
      <c r="I3" s="19"/>
      <c r="J3" s="4"/>
      <c r="K3" s="4"/>
      <c r="L3" s="4"/>
      <c r="M3" s="2"/>
      <c r="N3" s="2"/>
      <c r="O3"/>
      <c r="P3"/>
      <c r="Q3"/>
      <c r="R3"/>
      <c r="S3"/>
      <c r="T3"/>
      <c r="U3"/>
      <c r="V3"/>
      <c r="W3"/>
      <c r="X3"/>
      <c r="Y3"/>
      <c r="Z3"/>
      <c r="AA3"/>
      <c r="AB3"/>
    </row>
    <row r="4" spans="1:28" ht="16.2">
      <c r="A4" s="20"/>
      <c r="B4" s="3"/>
      <c r="C4" s="3"/>
      <c r="D4" s="3"/>
      <c r="E4" s="3"/>
      <c r="F4" s="3"/>
      <c r="G4" s="3"/>
      <c r="H4" s="19"/>
      <c r="I4" s="19"/>
      <c r="J4" s="4"/>
      <c r="K4" s="4"/>
      <c r="L4" s="4"/>
      <c r="M4" s="2"/>
      <c r="N4" s="2"/>
      <c r="O4"/>
      <c r="P4"/>
      <c r="Q4"/>
      <c r="R4"/>
      <c r="S4"/>
      <c r="T4"/>
      <c r="U4"/>
      <c r="V4"/>
      <c r="W4"/>
      <c r="X4"/>
      <c r="Y4"/>
      <c r="Z4"/>
      <c r="AA4"/>
      <c r="AB4"/>
    </row>
    <row r="5" spans="1:28" ht="16.2">
      <c r="A5" s="5" t="s">
        <v>119</v>
      </c>
      <c r="B5" s="3"/>
      <c r="C5" s="3"/>
      <c r="D5" s="3"/>
      <c r="E5" s="3"/>
      <c r="F5" s="3"/>
      <c r="G5" s="3"/>
      <c r="H5" s="1663" t="s">
        <v>88</v>
      </c>
      <c r="I5" s="1663"/>
      <c r="J5" s="1663"/>
      <c r="K5" s="1663"/>
      <c r="L5" s="1663"/>
      <c r="M5" s="2"/>
      <c r="N5" s="2"/>
      <c r="O5"/>
      <c r="P5"/>
      <c r="Q5"/>
      <c r="R5"/>
      <c r="S5"/>
      <c r="T5"/>
      <c r="U5"/>
      <c r="V5"/>
      <c r="W5"/>
      <c r="X5"/>
      <c r="Y5"/>
      <c r="Z5"/>
      <c r="AA5"/>
      <c r="AB5"/>
    </row>
    <row r="6" spans="1:28" ht="18.75" customHeight="1">
      <c r="A6" s="19"/>
      <c r="B6" s="1664" t="s">
        <v>118</v>
      </c>
      <c r="C6" s="1665"/>
      <c r="D6" s="3"/>
      <c r="E6" s="3"/>
      <c r="F6" s="3"/>
      <c r="G6" s="85" t="s">
        <v>87</v>
      </c>
      <c r="H6" s="1666" t="s">
        <v>24</v>
      </c>
      <c r="I6" s="1668" t="s">
        <v>20</v>
      </c>
      <c r="J6" s="1668" t="s">
        <v>85</v>
      </c>
      <c r="K6" s="104" t="s">
        <v>101</v>
      </c>
      <c r="L6" s="105" t="s">
        <v>117</v>
      </c>
      <c r="M6" s="2"/>
      <c r="N6" s="2"/>
      <c r="O6"/>
      <c r="P6"/>
      <c r="Q6"/>
      <c r="R6"/>
      <c r="S6"/>
      <c r="T6"/>
      <c r="U6"/>
      <c r="V6"/>
      <c r="W6"/>
      <c r="X6"/>
      <c r="Y6"/>
      <c r="Z6"/>
      <c r="AA6"/>
      <c r="AB6"/>
    </row>
    <row r="7" spans="1:28" ht="37.5" customHeight="1">
      <c r="A7" s="83" t="s">
        <v>31</v>
      </c>
      <c r="B7" s="83" t="s">
        <v>29</v>
      </c>
      <c r="C7" s="83" t="s">
        <v>116</v>
      </c>
      <c r="D7" s="84" t="s">
        <v>27</v>
      </c>
      <c r="E7" s="83" t="s">
        <v>26</v>
      </c>
      <c r="F7" s="83" t="s">
        <v>25</v>
      </c>
      <c r="G7" s="82" t="s">
        <v>84</v>
      </c>
      <c r="H7" s="1667"/>
      <c r="I7" s="1669"/>
      <c r="J7" s="1669"/>
      <c r="K7" s="103" t="s">
        <v>115</v>
      </c>
      <c r="L7" s="102" t="s">
        <v>21</v>
      </c>
      <c r="M7" s="2"/>
      <c r="N7" s="2"/>
      <c r="O7"/>
      <c r="P7"/>
      <c r="Q7"/>
      <c r="R7"/>
      <c r="S7"/>
      <c r="T7"/>
      <c r="U7"/>
      <c r="V7"/>
      <c r="W7"/>
      <c r="X7"/>
      <c r="Y7"/>
      <c r="Z7"/>
      <c r="AA7"/>
      <c r="AB7"/>
    </row>
    <row r="8" spans="1:28">
      <c r="A8" s="11">
        <v>2017</v>
      </c>
      <c r="B8" s="11">
        <v>0</v>
      </c>
      <c r="C8" s="11">
        <v>12</v>
      </c>
      <c r="D8" s="12">
        <v>2500</v>
      </c>
      <c r="E8" s="11">
        <v>48</v>
      </c>
      <c r="F8" s="10">
        <v>5000</v>
      </c>
      <c r="G8" s="81">
        <f t="shared" ref="G8:G17" si="0">(D8-H8)^2/H8</f>
        <v>5.4517066591692789</v>
      </c>
      <c r="H8" s="97">
        <f t="shared" ref="H8:H17" si="1">K8*(J8-I8)</f>
        <v>2619.5021219987693</v>
      </c>
      <c r="I8" s="101">
        <v>0</v>
      </c>
      <c r="J8" s="101">
        <f t="shared" ref="J8:J17" si="2">1-EXP(-((C8-6)/$D$23))</f>
        <v>0.5208632836725049</v>
      </c>
      <c r="K8" s="100">
        <f>C28</f>
        <v>5029.1548744407046</v>
      </c>
      <c r="L8" s="96">
        <f t="shared" ref="L8:L17" si="3">(D8-H8)/SQRT(G$18*H8)</f>
        <v>-0.19822449752619564</v>
      </c>
      <c r="M8" s="2"/>
      <c r="N8" s="2"/>
      <c r="O8"/>
      <c r="P8"/>
      <c r="Q8"/>
      <c r="R8"/>
      <c r="S8"/>
      <c r="T8"/>
      <c r="U8"/>
      <c r="V8"/>
      <c r="W8"/>
      <c r="X8"/>
      <c r="Y8"/>
      <c r="Z8"/>
      <c r="AA8"/>
      <c r="AB8"/>
    </row>
    <row r="9" spans="1:28" ht="15.75" customHeight="1">
      <c r="A9" s="11">
        <v>2017</v>
      </c>
      <c r="B9" s="11">
        <v>12</v>
      </c>
      <c r="C9" s="11">
        <v>24</v>
      </c>
      <c r="D9" s="12">
        <v>1800</v>
      </c>
      <c r="E9" s="11">
        <v>48</v>
      </c>
      <c r="F9" s="10">
        <v>5000</v>
      </c>
      <c r="G9" s="81">
        <f t="shared" si="0"/>
        <v>1.7173399072569007</v>
      </c>
      <c r="H9" s="97">
        <f t="shared" si="1"/>
        <v>1856.4639677871235</v>
      </c>
      <c r="I9" s="101">
        <f>1-EXP(-((B9-6)/$D$23))</f>
        <v>0.5208632836725049</v>
      </c>
      <c r="J9" s="101">
        <f t="shared" si="2"/>
        <v>0.8900036291452782</v>
      </c>
      <c r="K9" s="100">
        <f>C28</f>
        <v>5029.1548744407046</v>
      </c>
      <c r="L9" s="96">
        <f t="shared" si="3"/>
        <v>-0.11125491771858886</v>
      </c>
      <c r="M9" s="2"/>
      <c r="N9" s="2"/>
      <c r="O9"/>
      <c r="P9"/>
      <c r="Q9"/>
      <c r="R9"/>
      <c r="S9"/>
      <c r="T9"/>
      <c r="U9"/>
      <c r="V9"/>
      <c r="W9"/>
      <c r="X9"/>
      <c r="Y9"/>
      <c r="Z9"/>
      <c r="AA9"/>
      <c r="AB9"/>
    </row>
    <row r="10" spans="1:28">
      <c r="A10" s="11">
        <v>2017</v>
      </c>
      <c r="B10" s="11">
        <v>24</v>
      </c>
      <c r="C10" s="11">
        <v>36</v>
      </c>
      <c r="D10" s="12">
        <v>500</v>
      </c>
      <c r="E10" s="11">
        <v>48</v>
      </c>
      <c r="F10" s="10">
        <v>5000</v>
      </c>
      <c r="G10" s="81">
        <f t="shared" si="0"/>
        <v>12.782031451042577</v>
      </c>
      <c r="H10" s="97">
        <f t="shared" si="1"/>
        <v>426.19213289336989</v>
      </c>
      <c r="I10" s="101">
        <f>1-EXP(-((B10-6)/$D$23))</f>
        <v>0.8900036291452782</v>
      </c>
      <c r="J10" s="101">
        <f t="shared" si="2"/>
        <v>0.97474791392747373</v>
      </c>
      <c r="K10" s="100">
        <f>C28</f>
        <v>5029.1548744407046</v>
      </c>
      <c r="L10" s="96">
        <f t="shared" si="3"/>
        <v>0.30352259508847157</v>
      </c>
      <c r="M10" s="2"/>
      <c r="N10" s="2"/>
      <c r="O10"/>
      <c r="P10"/>
      <c r="Q10"/>
      <c r="R10"/>
      <c r="S10"/>
      <c r="T10"/>
      <c r="U10"/>
      <c r="V10"/>
      <c r="W10"/>
      <c r="X10"/>
      <c r="Y10"/>
      <c r="Z10"/>
      <c r="AA10"/>
      <c r="AB10"/>
    </row>
    <row r="11" spans="1:28">
      <c r="A11" s="11">
        <v>2017</v>
      </c>
      <c r="B11" s="11">
        <v>36</v>
      </c>
      <c r="C11" s="11">
        <v>48</v>
      </c>
      <c r="D11" s="12">
        <v>200</v>
      </c>
      <c r="E11" s="11">
        <v>48</v>
      </c>
      <c r="F11" s="10">
        <v>5000</v>
      </c>
      <c r="G11" s="81">
        <f t="shared" si="0"/>
        <v>106.66509487837965</v>
      </c>
      <c r="H11" s="97">
        <f t="shared" si="1"/>
        <v>97.841777320737577</v>
      </c>
      <c r="I11" s="101">
        <f>1-EXP(-((B11-6)/$D$23))</f>
        <v>0.97474791392747373</v>
      </c>
      <c r="J11" s="101">
        <f t="shared" si="2"/>
        <v>0.99420282827461215</v>
      </c>
      <c r="K11" s="100">
        <f>C28</f>
        <v>5029.1548744407046</v>
      </c>
      <c r="L11" s="96">
        <f t="shared" si="3"/>
        <v>0.87680344564101087</v>
      </c>
      <c r="M11" s="2"/>
      <c r="N11" s="2"/>
      <c r="O11"/>
      <c r="P11"/>
      <c r="Q11"/>
      <c r="R11"/>
      <c r="S11"/>
      <c r="T11"/>
      <c r="U11"/>
      <c r="V11"/>
      <c r="W11"/>
      <c r="X11"/>
      <c r="Y11"/>
      <c r="Z11"/>
      <c r="AA11"/>
      <c r="AB11"/>
    </row>
    <row r="12" spans="1:28">
      <c r="A12" s="11">
        <v>2018</v>
      </c>
      <c r="B12" s="11">
        <v>0</v>
      </c>
      <c r="C12" s="11">
        <v>12</v>
      </c>
      <c r="D12" s="12">
        <v>4100</v>
      </c>
      <c r="E12" s="11">
        <v>36</v>
      </c>
      <c r="F12" s="10">
        <v>7000</v>
      </c>
      <c r="G12" s="81">
        <f t="shared" si="0"/>
        <v>34.551925239645094</v>
      </c>
      <c r="H12" s="97">
        <f t="shared" si="1"/>
        <v>3740.498372565708</v>
      </c>
      <c r="I12" s="101">
        <v>0</v>
      </c>
      <c r="J12" s="101">
        <f t="shared" si="2"/>
        <v>0.5208632836725049</v>
      </c>
      <c r="K12" s="100">
        <f>C29</f>
        <v>7181.3439146491328</v>
      </c>
      <c r="L12" s="96">
        <f t="shared" si="3"/>
        <v>0.49903063976523909</v>
      </c>
      <c r="M12" s="2"/>
      <c r="N12" s="2"/>
      <c r="O12"/>
      <c r="P12"/>
      <c r="Q12"/>
      <c r="R12"/>
      <c r="S12"/>
      <c r="T12"/>
      <c r="U12"/>
      <c r="V12"/>
      <c r="W12"/>
      <c r="X12"/>
      <c r="Y12"/>
      <c r="Z12"/>
      <c r="AA12"/>
      <c r="AB12"/>
    </row>
    <row r="13" spans="1:28" ht="15.75" customHeight="1">
      <c r="A13" s="11">
        <v>2018</v>
      </c>
      <c r="B13" s="11">
        <v>12</v>
      </c>
      <c r="C13" s="11">
        <v>24</v>
      </c>
      <c r="D13" s="12">
        <v>2000</v>
      </c>
      <c r="E13" s="11">
        <v>36</v>
      </c>
      <c r="F13" s="10">
        <v>7000</v>
      </c>
      <c r="G13" s="81">
        <f t="shared" si="0"/>
        <v>159.83173989058426</v>
      </c>
      <c r="H13" s="97">
        <f t="shared" si="1"/>
        <v>2650.9237736123791</v>
      </c>
      <c r="I13" s="101">
        <f>1-EXP(-((B13-6)/$D$23))</f>
        <v>0.5208632836725049</v>
      </c>
      <c r="J13" s="101">
        <f t="shared" si="2"/>
        <v>0.8900036291452782</v>
      </c>
      <c r="K13" s="100">
        <f>C29</f>
        <v>7181.3439146491328</v>
      </c>
      <c r="L13" s="96">
        <f t="shared" si="3"/>
        <v>-1.0733036329557306</v>
      </c>
      <c r="M13" s="2"/>
      <c r="N13" s="2"/>
      <c r="O13"/>
      <c r="P13"/>
      <c r="Q13"/>
      <c r="R13"/>
      <c r="S13"/>
      <c r="T13"/>
      <c r="U13"/>
      <c r="V13"/>
      <c r="W13"/>
      <c r="X13"/>
      <c r="Y13"/>
      <c r="Z13"/>
      <c r="AA13"/>
      <c r="AB13"/>
    </row>
    <row r="14" spans="1:28">
      <c r="A14" s="11">
        <v>2018</v>
      </c>
      <c r="B14" s="11">
        <v>24</v>
      </c>
      <c r="C14" s="11">
        <v>36</v>
      </c>
      <c r="D14" s="12">
        <v>900</v>
      </c>
      <c r="E14" s="11">
        <v>36</v>
      </c>
      <c r="F14" s="10">
        <v>7000</v>
      </c>
      <c r="G14" s="81">
        <f t="shared" si="0"/>
        <v>139.54971701598316</v>
      </c>
      <c r="H14" s="97">
        <f t="shared" si="1"/>
        <v>608.57785382191298</v>
      </c>
      <c r="I14" s="101">
        <f>1-EXP(-((B14-6)/$D$23))</f>
        <v>0.8900036291452782</v>
      </c>
      <c r="J14" s="101">
        <f t="shared" si="2"/>
        <v>0.97474791392747373</v>
      </c>
      <c r="K14" s="100">
        <f>C29</f>
        <v>7181.3439146491328</v>
      </c>
      <c r="L14" s="96">
        <f t="shared" si="3"/>
        <v>1.0028952304256717</v>
      </c>
      <c r="M14" s="2"/>
      <c r="N14" s="2"/>
      <c r="O14"/>
      <c r="P14"/>
      <c r="Q14"/>
      <c r="R14"/>
      <c r="S14"/>
      <c r="T14"/>
      <c r="U14"/>
      <c r="V14"/>
      <c r="W14"/>
      <c r="X14"/>
      <c r="Y14"/>
      <c r="Z14"/>
      <c r="AA14"/>
      <c r="AB14"/>
    </row>
    <row r="15" spans="1:28">
      <c r="A15" s="11">
        <v>2019</v>
      </c>
      <c r="B15" s="11">
        <v>0</v>
      </c>
      <c r="C15" s="11">
        <v>12</v>
      </c>
      <c r="D15" s="12">
        <v>4600</v>
      </c>
      <c r="E15" s="11">
        <v>24</v>
      </c>
      <c r="F15" s="10">
        <v>6800</v>
      </c>
      <c r="G15" s="81">
        <f t="shared" si="0"/>
        <v>96.712809591809517</v>
      </c>
      <c r="H15" s="97">
        <f t="shared" si="1"/>
        <v>3979.6133554809162</v>
      </c>
      <c r="I15" s="101">
        <v>0</v>
      </c>
      <c r="J15" s="101">
        <f t="shared" si="2"/>
        <v>0.5208632836725049</v>
      </c>
      <c r="K15" s="100">
        <f>C30</f>
        <v>7640.4182829349047</v>
      </c>
      <c r="L15" s="96">
        <f t="shared" si="3"/>
        <v>0.83489735632647932</v>
      </c>
      <c r="M15" s="2"/>
      <c r="N15" s="2"/>
      <c r="O15"/>
      <c r="P15"/>
      <c r="Q15"/>
      <c r="R15"/>
      <c r="S15"/>
      <c r="T15"/>
      <c r="U15"/>
      <c r="V15"/>
      <c r="W15"/>
      <c r="X15"/>
      <c r="Y15"/>
      <c r="Z15"/>
      <c r="AA15"/>
      <c r="AB15"/>
    </row>
    <row r="16" spans="1:28">
      <c r="A16" s="11">
        <v>2019</v>
      </c>
      <c r="B16" s="11">
        <v>12</v>
      </c>
      <c r="C16" s="11">
        <v>24</v>
      </c>
      <c r="D16" s="12">
        <v>2200</v>
      </c>
      <c r="E16" s="11">
        <v>24</v>
      </c>
      <c r="F16" s="10">
        <v>6800</v>
      </c>
      <c r="G16" s="81">
        <f t="shared" si="0"/>
        <v>136.46341342794014</v>
      </c>
      <c r="H16" s="97">
        <f t="shared" si="1"/>
        <v>2820.3866445190843</v>
      </c>
      <c r="I16" s="101">
        <f>1-EXP(-((B16-6)/$D$23))</f>
        <v>0.5208632836725049</v>
      </c>
      <c r="J16" s="101">
        <f t="shared" si="2"/>
        <v>0.8900036291452782</v>
      </c>
      <c r="K16" s="100">
        <f>C30</f>
        <v>7640.4182829349047</v>
      </c>
      <c r="L16" s="96">
        <f t="shared" si="3"/>
        <v>-0.99174313060124031</v>
      </c>
      <c r="M16" s="2"/>
      <c r="N16" s="2"/>
      <c r="O16"/>
      <c r="P16"/>
      <c r="Q16"/>
      <c r="R16"/>
      <c r="S16"/>
      <c r="T16"/>
      <c r="U16"/>
      <c r="V16"/>
      <c r="W16"/>
      <c r="X16"/>
      <c r="Y16"/>
      <c r="Z16"/>
      <c r="AA16"/>
      <c r="AB16"/>
    </row>
    <row r="17" spans="1:28">
      <c r="A17" s="11">
        <v>2020</v>
      </c>
      <c r="B17" s="11">
        <v>0</v>
      </c>
      <c r="C17" s="11">
        <v>12</v>
      </c>
      <c r="D17" s="12">
        <v>5300</v>
      </c>
      <c r="E17" s="11">
        <v>12</v>
      </c>
      <c r="F17" s="10">
        <v>5300</v>
      </c>
      <c r="G17" s="81">
        <f t="shared" si="0"/>
        <v>0</v>
      </c>
      <c r="H17" s="97">
        <f t="shared" si="1"/>
        <v>5300</v>
      </c>
      <c r="I17" s="101">
        <v>0</v>
      </c>
      <c r="J17" s="101">
        <f t="shared" si="2"/>
        <v>0.5208632836725049</v>
      </c>
      <c r="K17" s="100">
        <f>C31</f>
        <v>10175.414866317202</v>
      </c>
      <c r="L17" s="96">
        <f t="shared" si="3"/>
        <v>0</v>
      </c>
      <c r="M17" s="2"/>
      <c r="N17" s="2"/>
      <c r="O17"/>
      <c r="P17"/>
      <c r="Q17"/>
      <c r="R17"/>
      <c r="S17"/>
      <c r="T17"/>
      <c r="U17"/>
      <c r="V17"/>
      <c r="W17"/>
      <c r="X17"/>
      <c r="Y17"/>
      <c r="Z17"/>
      <c r="AA17"/>
      <c r="AB17"/>
    </row>
    <row r="18" spans="1:28">
      <c r="A18" s="3"/>
      <c r="B18" s="3"/>
      <c r="C18" s="3"/>
      <c r="D18" s="3"/>
      <c r="E18" s="3"/>
      <c r="F18" s="3"/>
      <c r="G18" s="99">
        <f>SUM(G8:G17)/5</f>
        <v>138.74515561236211</v>
      </c>
      <c r="H18" s="97"/>
      <c r="I18" s="98"/>
      <c r="J18" s="98"/>
      <c r="K18" s="97"/>
      <c r="L18" s="96"/>
      <c r="M18" s="2"/>
      <c r="N18" s="2"/>
      <c r="O18"/>
      <c r="P18"/>
      <c r="Q18"/>
      <c r="R18"/>
      <c r="S18"/>
      <c r="T18"/>
      <c r="U18"/>
      <c r="V18"/>
      <c r="W18"/>
      <c r="X18"/>
      <c r="Y18"/>
      <c r="Z18"/>
      <c r="AA18"/>
      <c r="AB18"/>
    </row>
    <row r="19" spans="1:28">
      <c r="A19" s="3"/>
      <c r="B19" s="3"/>
      <c r="C19" s="3"/>
      <c r="D19" s="3"/>
      <c r="E19" s="3"/>
      <c r="F19" s="3"/>
      <c r="G19" s="3"/>
      <c r="H19" s="3"/>
      <c r="I19" s="2"/>
      <c r="J19" s="2"/>
      <c r="K19" s="2"/>
      <c r="L19" s="2"/>
      <c r="M19" s="2"/>
      <c r="N19" s="2"/>
      <c r="O19"/>
      <c r="P19"/>
      <c r="Q19"/>
      <c r="R19"/>
      <c r="S19"/>
      <c r="T19"/>
      <c r="U19"/>
      <c r="V19"/>
      <c r="W19"/>
      <c r="X19"/>
      <c r="Y19"/>
      <c r="Z19"/>
      <c r="AA19"/>
      <c r="AB19"/>
    </row>
    <row r="20" spans="1:28">
      <c r="A20" s="3" t="s">
        <v>114</v>
      </c>
      <c r="B20" s="3"/>
      <c r="C20" s="3"/>
      <c r="D20" s="3"/>
      <c r="E20" s="3"/>
      <c r="F20" s="3"/>
      <c r="G20" s="3"/>
      <c r="H20" s="3"/>
      <c r="I20" s="2"/>
      <c r="J20" s="2"/>
      <c r="K20" s="2"/>
      <c r="L20" s="2"/>
      <c r="M20" s="2"/>
      <c r="N20" s="2"/>
      <c r="O20"/>
      <c r="P20"/>
      <c r="Q20"/>
      <c r="R20"/>
      <c r="S20"/>
      <c r="T20"/>
      <c r="U20"/>
      <c r="V20"/>
      <c r="W20"/>
      <c r="X20"/>
      <c r="Y20"/>
      <c r="Z20"/>
      <c r="AA20"/>
      <c r="AB20"/>
    </row>
    <row r="21" spans="1:28">
      <c r="A21" s="3" t="s">
        <v>113</v>
      </c>
      <c r="B21" s="3"/>
      <c r="C21" s="3"/>
      <c r="D21" s="3"/>
      <c r="E21" s="3"/>
      <c r="F21" s="3"/>
      <c r="G21" s="3"/>
      <c r="H21" s="3"/>
      <c r="I21" s="2"/>
      <c r="J21" s="2"/>
      <c r="K21" s="2"/>
      <c r="L21" s="2"/>
      <c r="M21" s="2"/>
      <c r="N21" s="2"/>
      <c r="O21"/>
      <c r="P21"/>
      <c r="Q21"/>
      <c r="R21"/>
      <c r="S21"/>
      <c r="T21"/>
      <c r="U21"/>
      <c r="V21"/>
      <c r="W21"/>
      <c r="X21"/>
      <c r="Y21"/>
      <c r="Z21"/>
      <c r="AA21"/>
      <c r="AB21"/>
    </row>
    <row r="22" spans="1:28">
      <c r="A22" s="3"/>
      <c r="B22" s="3"/>
      <c r="C22" s="3"/>
      <c r="D22" s="3"/>
      <c r="E22" s="3"/>
      <c r="F22" s="3"/>
      <c r="G22" s="3"/>
      <c r="H22" s="3"/>
      <c r="I22" s="2"/>
      <c r="J22" s="2"/>
      <c r="K22" s="2"/>
      <c r="L22" s="2"/>
      <c r="M22" s="2"/>
      <c r="N22" s="2"/>
      <c r="O22"/>
      <c r="P22"/>
      <c r="Q22"/>
      <c r="R22"/>
      <c r="S22"/>
      <c r="T22"/>
      <c r="U22"/>
      <c r="V22"/>
      <c r="W22"/>
      <c r="X22"/>
      <c r="Y22"/>
      <c r="Z22"/>
      <c r="AA22"/>
      <c r="AB22"/>
    </row>
    <row r="23" spans="1:28">
      <c r="A23" s="95" t="s">
        <v>112</v>
      </c>
      <c r="B23" s="2"/>
      <c r="C23" s="2"/>
      <c r="D23" s="6">
        <v>8.1547300000000007</v>
      </c>
      <c r="E23" s="2"/>
      <c r="F23" s="2"/>
      <c r="G23" s="2"/>
      <c r="H23" s="2"/>
      <c r="I23" s="2"/>
      <c r="J23" s="2"/>
      <c r="K23" s="2"/>
      <c r="L23" s="2"/>
      <c r="M23" s="2"/>
      <c r="N23" s="2"/>
      <c r="O23"/>
      <c r="P23"/>
      <c r="Q23"/>
      <c r="R23"/>
      <c r="S23"/>
      <c r="T23"/>
      <c r="U23"/>
      <c r="V23"/>
      <c r="W23"/>
      <c r="X23"/>
      <c r="Y23"/>
      <c r="Z23"/>
      <c r="AA23"/>
      <c r="AB23"/>
    </row>
    <row r="24" spans="1:28">
      <c r="A24" s="3"/>
      <c r="B24" s="2"/>
      <c r="C24" s="2"/>
      <c r="D24" s="2"/>
      <c r="E24" s="2"/>
      <c r="F24" s="2"/>
      <c r="G24" s="2"/>
      <c r="H24" s="2"/>
      <c r="I24" s="2"/>
      <c r="J24" s="2"/>
      <c r="K24" s="2"/>
      <c r="L24" s="2"/>
      <c r="M24" s="2"/>
      <c r="N24" s="2"/>
      <c r="O24"/>
      <c r="P24"/>
      <c r="Q24"/>
      <c r="R24"/>
      <c r="S24"/>
      <c r="T24"/>
      <c r="U24"/>
      <c r="V24"/>
      <c r="W24"/>
      <c r="X24"/>
      <c r="Y24"/>
      <c r="Z24"/>
      <c r="AA24"/>
      <c r="AB24"/>
    </row>
    <row r="25" spans="1:28">
      <c r="A25" s="3" t="s">
        <v>80</v>
      </c>
      <c r="B25" s="3" t="s">
        <v>111</v>
      </c>
      <c r="C25" s="3"/>
      <c r="D25" s="3"/>
      <c r="E25" s="3"/>
      <c r="F25" s="3"/>
      <c r="G25" s="3"/>
      <c r="H25" s="3"/>
      <c r="I25" s="2"/>
      <c r="J25" s="2"/>
      <c r="K25" s="2"/>
      <c r="L25" s="2"/>
      <c r="M25" s="2"/>
      <c r="N25" s="2"/>
      <c r="O25"/>
      <c r="P25"/>
      <c r="Q25"/>
      <c r="R25"/>
      <c r="S25"/>
      <c r="T25"/>
      <c r="U25"/>
      <c r="V25"/>
      <c r="W25"/>
      <c r="X25"/>
      <c r="Y25"/>
      <c r="Z25"/>
      <c r="AA25"/>
      <c r="AB25"/>
    </row>
    <row r="26" spans="1:28" ht="16.2">
      <c r="A26" s="3"/>
      <c r="B26" s="94" t="s">
        <v>110</v>
      </c>
      <c r="C26" s="94"/>
      <c r="D26" s="93"/>
      <c r="E26" s="93"/>
      <c r="F26" s="93"/>
      <c r="G26" s="93"/>
      <c r="H26" s="93"/>
      <c r="I26" s="2"/>
      <c r="J26" s="2"/>
      <c r="K26" s="2"/>
      <c r="L26" s="2"/>
      <c r="M26" s="2"/>
      <c r="N26" s="2"/>
      <c r="O26"/>
      <c r="P26"/>
      <c r="Q26"/>
      <c r="R26"/>
      <c r="S26"/>
      <c r="T26"/>
      <c r="U26"/>
      <c r="V26"/>
      <c r="W26"/>
      <c r="X26"/>
      <c r="Y26"/>
      <c r="Z26"/>
      <c r="AA26"/>
      <c r="AB26"/>
    </row>
    <row r="27" spans="1:28" ht="16.2">
      <c r="A27" s="92"/>
      <c r="B27" s="92" t="s">
        <v>109</v>
      </c>
      <c r="C27"/>
      <c r="D27"/>
      <c r="E27"/>
      <c r="F27"/>
      <c r="G27"/>
      <c r="H27"/>
      <c r="I27"/>
      <c r="J27"/>
      <c r="K27"/>
      <c r="L27"/>
      <c r="M27"/>
      <c r="N27"/>
      <c r="O27"/>
      <c r="P27"/>
      <c r="Q27"/>
      <c r="R27"/>
      <c r="S27"/>
      <c r="T27"/>
      <c r="U27"/>
      <c r="V27"/>
      <c r="W27"/>
      <c r="X27"/>
      <c r="Y27"/>
      <c r="Z27"/>
      <c r="AA27"/>
      <c r="AB27"/>
    </row>
    <row r="28" spans="1:28" ht="16.2">
      <c r="A28"/>
      <c r="B28" s="91" t="s">
        <v>108</v>
      </c>
      <c r="C28" s="90">
        <f>F11/J11</f>
        <v>5029.1548744407046</v>
      </c>
      <c r="D28" s="86"/>
      <c r="E28"/>
      <c r="F28"/>
      <c r="G28"/>
      <c r="H28"/>
      <c r="I28"/>
      <c r="J28"/>
      <c r="K28"/>
      <c r="L28"/>
      <c r="M28"/>
      <c r="N28"/>
      <c r="O28"/>
      <c r="P28"/>
      <c r="Q28"/>
      <c r="R28"/>
      <c r="S28"/>
      <c r="T28"/>
      <c r="U28"/>
      <c r="V28"/>
      <c r="W28"/>
      <c r="X28"/>
      <c r="Y28"/>
      <c r="Z28"/>
      <c r="AA28"/>
      <c r="AB28"/>
    </row>
    <row r="29" spans="1:28" ht="16.2">
      <c r="A29"/>
      <c r="B29" s="91" t="s">
        <v>107</v>
      </c>
      <c r="C29" s="90">
        <f>F14/J14</f>
        <v>7181.3439146491328</v>
      </c>
      <c r="D29" s="86"/>
      <c r="E29"/>
      <c r="F29"/>
      <c r="G29"/>
      <c r="H29"/>
      <c r="I29"/>
      <c r="J29"/>
      <c r="K29"/>
      <c r="L29"/>
      <c r="M29"/>
      <c r="N29"/>
      <c r="O29"/>
      <c r="P29"/>
      <c r="Q29"/>
      <c r="R29"/>
      <c r="S29"/>
      <c r="T29"/>
      <c r="U29"/>
      <c r="V29"/>
      <c r="W29"/>
      <c r="X29"/>
      <c r="Y29"/>
      <c r="Z29"/>
      <c r="AA29"/>
      <c r="AB29"/>
    </row>
    <row r="30" spans="1:28" ht="16.2">
      <c r="A30"/>
      <c r="B30" s="91" t="s">
        <v>106</v>
      </c>
      <c r="C30" s="90">
        <f>F16/J16</f>
        <v>7640.4182829349047</v>
      </c>
      <c r="D30" s="86"/>
      <c r="E30"/>
      <c r="F30"/>
      <c r="G30"/>
      <c r="H30"/>
      <c r="I30"/>
      <c r="J30"/>
      <c r="K30"/>
      <c r="L30"/>
      <c r="M30"/>
      <c r="N30"/>
      <c r="O30"/>
      <c r="P30"/>
      <c r="Q30"/>
      <c r="R30"/>
      <c r="S30"/>
      <c r="T30"/>
      <c r="U30"/>
      <c r="V30"/>
      <c r="W30"/>
      <c r="X30"/>
      <c r="Y30"/>
      <c r="Z30"/>
      <c r="AA30"/>
      <c r="AB30"/>
    </row>
    <row r="31" spans="1:28" ht="16.2">
      <c r="A31"/>
      <c r="B31" s="91" t="s">
        <v>105</v>
      </c>
      <c r="C31" s="90">
        <f>F17/J17</f>
        <v>10175.414866317202</v>
      </c>
      <c r="D31" s="86"/>
      <c r="E31"/>
      <c r="F31"/>
      <c r="G31"/>
      <c r="H31"/>
      <c r="I31"/>
      <c r="J31"/>
      <c r="K31"/>
      <c r="L31"/>
      <c r="M31"/>
      <c r="N31"/>
      <c r="O31"/>
      <c r="P31"/>
      <c r="Q31"/>
      <c r="R31"/>
      <c r="S31"/>
      <c r="T31"/>
      <c r="U31"/>
      <c r="V31"/>
      <c r="W31"/>
      <c r="X31"/>
      <c r="Y31"/>
      <c r="Z31"/>
      <c r="AA31"/>
      <c r="AB31"/>
    </row>
    <row r="32" spans="1:28">
      <c r="A32"/>
      <c r="B32"/>
      <c r="C32"/>
      <c r="D32"/>
      <c r="E32"/>
      <c r="F32"/>
      <c r="G32"/>
      <c r="H32"/>
      <c r="I32"/>
      <c r="J32"/>
      <c r="K32"/>
      <c r="L32"/>
      <c r="M32"/>
      <c r="N32"/>
      <c r="O32"/>
      <c r="P32"/>
      <c r="Q32"/>
      <c r="R32"/>
      <c r="S32"/>
      <c r="T32"/>
      <c r="U32"/>
      <c r="V32"/>
      <c r="W32"/>
      <c r="X32"/>
      <c r="Y32"/>
      <c r="Z32"/>
      <c r="AA32"/>
      <c r="AB32"/>
    </row>
    <row r="33" spans="1:28" ht="18.600000000000001">
      <c r="A33" s="71" t="s">
        <v>9</v>
      </c>
      <c r="B33" s="3" t="s">
        <v>104</v>
      </c>
      <c r="C33" s="3"/>
      <c r="D33" s="3"/>
      <c r="E33" s="3"/>
      <c r="F33" s="3"/>
      <c r="G33" s="3"/>
      <c r="H33" s="3"/>
      <c r="I33" s="2"/>
      <c r="J33" s="2"/>
      <c r="K33" s="2"/>
      <c r="L33" s="2"/>
      <c r="M33" s="2"/>
      <c r="N33" s="2"/>
      <c r="O33"/>
      <c r="P33"/>
      <c r="Q33"/>
      <c r="R33"/>
      <c r="S33"/>
      <c r="T33"/>
      <c r="U33"/>
      <c r="V33"/>
      <c r="W33"/>
      <c r="X33"/>
      <c r="Y33"/>
      <c r="Z33"/>
      <c r="AA33"/>
      <c r="AB33"/>
    </row>
    <row r="34" spans="1:28" ht="19.2">
      <c r="A34" s="3"/>
      <c r="B34" s="70" t="s">
        <v>103</v>
      </c>
      <c r="C34" s="71"/>
      <c r="D34" s="71"/>
      <c r="E34" s="71"/>
      <c r="F34" s="71"/>
      <c r="G34" s="71"/>
      <c r="H34" s="71"/>
      <c r="I34" s="2"/>
      <c r="J34" s="2"/>
      <c r="K34" s="2"/>
      <c r="L34" s="2"/>
      <c r="M34" s="2"/>
      <c r="N34" s="2"/>
      <c r="O34"/>
      <c r="P34"/>
      <c r="Q34"/>
      <c r="R34"/>
      <c r="S34"/>
      <c r="T34"/>
      <c r="U34"/>
      <c r="V34"/>
      <c r="W34"/>
      <c r="X34"/>
      <c r="Y34"/>
      <c r="Z34"/>
      <c r="AA34"/>
      <c r="AB34"/>
    </row>
    <row r="35" spans="1:28">
      <c r="A35" s="3"/>
      <c r="B35" s="3"/>
      <c r="C35" s="2"/>
      <c r="D35" s="2"/>
      <c r="E35" s="2"/>
      <c r="F35" s="2"/>
      <c r="G35" s="2"/>
      <c r="H35" s="2"/>
      <c r="I35" s="2"/>
      <c r="J35" s="2"/>
      <c r="K35" s="2"/>
      <c r="L35" s="2"/>
      <c r="M35" s="2"/>
      <c r="N35" s="2"/>
      <c r="O35"/>
      <c r="P35"/>
      <c r="Q35"/>
      <c r="R35"/>
      <c r="S35"/>
      <c r="T35"/>
      <c r="U35"/>
      <c r="V35"/>
      <c r="W35"/>
      <c r="X35"/>
      <c r="Y35"/>
      <c r="Z35"/>
      <c r="AA35"/>
      <c r="AB35"/>
    </row>
    <row r="36" spans="1:28" ht="16.2">
      <c r="A36" s="3" t="s">
        <v>7</v>
      </c>
      <c r="B36" s="3" t="s">
        <v>102</v>
      </c>
      <c r="C36" s="5"/>
      <c r="D36" s="3"/>
      <c r="E36" s="3"/>
      <c r="F36" s="3"/>
      <c r="G36" s="3"/>
      <c r="H36" s="3"/>
      <c r="I36" s="2"/>
      <c r="J36" s="2"/>
      <c r="K36" s="2"/>
      <c r="L36" s="2"/>
      <c r="M36" s="2"/>
      <c r="N36" s="2"/>
      <c r="O36"/>
      <c r="P36"/>
      <c r="Q36"/>
      <c r="R36"/>
      <c r="S36"/>
      <c r="T36"/>
      <c r="U36"/>
      <c r="V36"/>
      <c r="W36"/>
      <c r="X36"/>
      <c r="Y36"/>
      <c r="Z36"/>
      <c r="AA36"/>
      <c r="AB36"/>
    </row>
    <row r="37" spans="1:28" ht="16.2">
      <c r="A37" s="5"/>
      <c r="B37" s="5" t="s">
        <v>64</v>
      </c>
      <c r="C37" s="4"/>
      <c r="D37" s="4"/>
      <c r="E37" s="4"/>
      <c r="F37" s="4"/>
      <c r="G37" s="4"/>
      <c r="H37" s="3"/>
      <c r="I37" s="3"/>
      <c r="J37" s="2"/>
      <c r="K37" s="2"/>
      <c r="L37" s="2"/>
      <c r="M37" s="2"/>
      <c r="N37" s="2"/>
      <c r="O37"/>
      <c r="P37"/>
      <c r="Q37"/>
      <c r="R37"/>
      <c r="S37"/>
      <c r="T37"/>
      <c r="U37"/>
      <c r="V37"/>
      <c r="W37"/>
      <c r="X37"/>
      <c r="Y37"/>
      <c r="Z37"/>
      <c r="AA37"/>
      <c r="AB37"/>
    </row>
    <row r="38" spans="1:28" ht="19.95" customHeight="1">
      <c r="A38" s="87" t="s">
        <v>47</v>
      </c>
      <c r="B38" s="87" t="s">
        <v>101</v>
      </c>
      <c r="C38" s="87" t="s">
        <v>100</v>
      </c>
      <c r="D38" s="87" t="s">
        <v>99</v>
      </c>
      <c r="E38" s="87"/>
      <c r="F38" s="87"/>
      <c r="G38" s="87"/>
      <c r="H38" s="87"/>
      <c r="I38" s="87"/>
      <c r="J38" s="87"/>
      <c r="K38" s="87"/>
      <c r="L38"/>
      <c r="M38"/>
      <c r="N38"/>
      <c r="O38"/>
      <c r="P38"/>
      <c r="Q38"/>
      <c r="R38"/>
      <c r="S38"/>
      <c r="T38"/>
      <c r="U38"/>
      <c r="V38"/>
      <c r="W38"/>
      <c r="X38"/>
      <c r="Y38"/>
      <c r="Z38"/>
      <c r="AA38"/>
      <c r="AB38"/>
    </row>
    <row r="39" spans="1:28" ht="19.95" customHeight="1">
      <c r="A39" s="87">
        <v>2017</v>
      </c>
      <c r="B39" s="87">
        <f>C28</f>
        <v>5029.1548744407046</v>
      </c>
      <c r="C39" s="89">
        <f>F11</f>
        <v>5000</v>
      </c>
      <c r="D39" s="89">
        <f>B39-C39</f>
        <v>29.154874440704589</v>
      </c>
      <c r="E39" s="87"/>
      <c r="F39" s="87"/>
      <c r="G39" s="87"/>
      <c r="H39" s="87"/>
      <c r="I39" s="87"/>
      <c r="J39" s="87"/>
      <c r="K39" s="87"/>
      <c r="L39"/>
      <c r="M39"/>
      <c r="N39"/>
      <c r="O39"/>
      <c r="P39"/>
      <c r="Q39"/>
      <c r="R39"/>
      <c r="S39"/>
      <c r="T39"/>
      <c r="U39"/>
      <c r="V39"/>
      <c r="W39"/>
      <c r="X39"/>
      <c r="Y39"/>
      <c r="Z39"/>
      <c r="AA39"/>
      <c r="AB39"/>
    </row>
    <row r="40" spans="1:28" ht="19.95" customHeight="1">
      <c r="A40" s="87">
        <v>2018</v>
      </c>
      <c r="B40" s="87">
        <f>C29</f>
        <v>7181.3439146491328</v>
      </c>
      <c r="C40" s="89">
        <f>F14</f>
        <v>7000</v>
      </c>
      <c r="D40" s="89">
        <f>B40-C40</f>
        <v>181.34391464913278</v>
      </c>
      <c r="E40" s="87"/>
      <c r="F40" s="87"/>
      <c r="G40" s="87"/>
      <c r="H40" s="87"/>
      <c r="I40" s="87"/>
      <c r="J40" s="87"/>
      <c r="K40" s="87"/>
      <c r="L40"/>
      <c r="M40"/>
      <c r="N40"/>
      <c r="O40"/>
      <c r="P40"/>
      <c r="Q40"/>
      <c r="R40"/>
      <c r="S40"/>
      <c r="T40"/>
      <c r="U40"/>
      <c r="V40"/>
      <c r="W40"/>
      <c r="X40"/>
      <c r="Y40"/>
      <c r="Z40"/>
      <c r="AA40"/>
      <c r="AB40"/>
    </row>
    <row r="41" spans="1:28" ht="19.95" customHeight="1">
      <c r="A41" s="87">
        <v>2019</v>
      </c>
      <c r="B41" s="87">
        <f>C30</f>
        <v>7640.4182829349047</v>
      </c>
      <c r="C41" s="89">
        <f>F16</f>
        <v>6800</v>
      </c>
      <c r="D41" s="89">
        <f>B41-C41</f>
        <v>840.41828293490471</v>
      </c>
      <c r="E41" s="87"/>
      <c r="F41" s="87"/>
      <c r="G41" s="87"/>
      <c r="H41" s="87"/>
      <c r="I41" s="87"/>
      <c r="J41" s="87"/>
      <c r="K41" s="87"/>
      <c r="L41"/>
      <c r="M41"/>
      <c r="N41"/>
      <c r="O41"/>
      <c r="P41"/>
      <c r="Q41"/>
      <c r="R41"/>
      <c r="S41"/>
      <c r="T41"/>
      <c r="U41"/>
      <c r="V41"/>
      <c r="W41"/>
      <c r="X41"/>
      <c r="Y41"/>
      <c r="Z41"/>
      <c r="AA41"/>
      <c r="AB41"/>
    </row>
    <row r="42" spans="1:28" ht="19.95" customHeight="1">
      <c r="A42" s="87">
        <v>2020</v>
      </c>
      <c r="B42" s="87">
        <f>C31</f>
        <v>10175.414866317202</v>
      </c>
      <c r="C42" s="89">
        <f>F17</f>
        <v>5300</v>
      </c>
      <c r="D42" s="89">
        <f>B42-C42</f>
        <v>4875.4148663172018</v>
      </c>
      <c r="E42" s="87"/>
      <c r="F42" s="87"/>
      <c r="G42" s="87"/>
      <c r="H42" s="87"/>
      <c r="I42" s="87"/>
      <c r="J42" s="87"/>
      <c r="K42" s="87"/>
      <c r="L42"/>
      <c r="M42"/>
      <c r="N42"/>
      <c r="O42"/>
      <c r="P42"/>
      <c r="Q42"/>
      <c r="R42"/>
      <c r="S42"/>
      <c r="T42"/>
      <c r="U42"/>
      <c r="V42"/>
      <c r="W42"/>
      <c r="X42"/>
      <c r="Y42"/>
      <c r="Z42"/>
      <c r="AA42"/>
      <c r="AB42"/>
    </row>
    <row r="43" spans="1:28" ht="19.95" customHeight="1">
      <c r="A43" s="87"/>
      <c r="B43" s="87"/>
      <c r="C43" s="87" t="s">
        <v>98</v>
      </c>
      <c r="D43" s="89">
        <f>SUM(D39:D42)</f>
        <v>5926.3319383419439</v>
      </c>
      <c r="E43" s="86"/>
      <c r="F43" s="87"/>
      <c r="G43" s="87"/>
      <c r="H43" s="87"/>
      <c r="I43" s="87"/>
      <c r="J43" s="87"/>
      <c r="K43" s="87"/>
      <c r="L43"/>
      <c r="M43"/>
      <c r="N43"/>
      <c r="O43"/>
      <c r="P43"/>
      <c r="Q43"/>
      <c r="R43"/>
      <c r="S43"/>
      <c r="T43"/>
      <c r="U43"/>
      <c r="V43"/>
      <c r="W43"/>
      <c r="X43"/>
      <c r="Y43"/>
      <c r="Z43"/>
      <c r="AA43"/>
      <c r="AB43"/>
    </row>
    <row r="44" spans="1:28" ht="19.95" customHeight="1">
      <c r="A44" s="87"/>
      <c r="B44" s="87"/>
      <c r="C44" s="87" t="s">
        <v>67</v>
      </c>
      <c r="D44" s="88">
        <f>SQRT(G18*D43)</f>
        <v>906.77993305750022</v>
      </c>
      <c r="E44" s="86"/>
      <c r="F44" s="87"/>
      <c r="G44" s="87"/>
      <c r="H44" s="87"/>
      <c r="I44" s="87"/>
      <c r="J44" s="87"/>
      <c r="K44" s="87"/>
      <c r="L44"/>
      <c r="M44"/>
      <c r="N44"/>
      <c r="O44"/>
      <c r="P44"/>
      <c r="Q44"/>
      <c r="R44"/>
      <c r="S44"/>
      <c r="T44"/>
      <c r="U44"/>
      <c r="V44"/>
      <c r="W44"/>
      <c r="X44"/>
      <c r="Y44"/>
      <c r="Z44"/>
      <c r="AA44"/>
      <c r="AB44"/>
    </row>
    <row r="45" spans="1:28">
      <c r="A45" s="87"/>
      <c r="B45" s="87"/>
      <c r="C45" s="87"/>
      <c r="D45" s="87"/>
      <c r="E45" s="87"/>
      <c r="F45" s="87"/>
      <c r="G45" s="87"/>
      <c r="H45" s="87"/>
      <c r="I45" s="87"/>
      <c r="J45" s="87"/>
      <c r="K45" s="87"/>
      <c r="L45"/>
      <c r="M45"/>
      <c r="N45"/>
      <c r="O45"/>
      <c r="P45"/>
      <c r="Q45"/>
      <c r="R45"/>
      <c r="S45"/>
      <c r="T45"/>
      <c r="U45"/>
      <c r="V45"/>
      <c r="W45"/>
      <c r="X45"/>
      <c r="Y45"/>
      <c r="Z45"/>
      <c r="AA45"/>
      <c r="AB45"/>
    </row>
    <row r="46" spans="1:28" ht="16.2">
      <c r="A46" s="3" t="s">
        <v>4</v>
      </c>
      <c r="B46" s="3" t="s">
        <v>97</v>
      </c>
      <c r="C46" s="5"/>
      <c r="D46" s="3"/>
      <c r="E46" s="3"/>
      <c r="F46" s="3"/>
      <c r="G46" s="3"/>
      <c r="H46" s="3"/>
      <c r="I46" s="2"/>
      <c r="J46" s="5" t="s">
        <v>96</v>
      </c>
      <c r="K46" s="3"/>
      <c r="L46" s="3"/>
      <c r="M46" s="2"/>
      <c r="N46" s="2"/>
      <c r="O46"/>
      <c r="P46"/>
      <c r="Q46"/>
      <c r="R46"/>
      <c r="S46"/>
      <c r="T46"/>
      <c r="U46"/>
      <c r="V46"/>
      <c r="W46"/>
      <c r="X46"/>
      <c r="Y46"/>
      <c r="Z46"/>
      <c r="AA46"/>
      <c r="AB46"/>
    </row>
    <row r="47" spans="1:28" ht="16.2">
      <c r="A47" s="5"/>
      <c r="B47" s="5" t="s">
        <v>92</v>
      </c>
      <c r="C47" s="5"/>
      <c r="D47" s="4"/>
      <c r="E47" s="4"/>
      <c r="F47" s="3"/>
      <c r="G47" s="3"/>
      <c r="H47" s="3"/>
      <c r="I47" s="2"/>
      <c r="J47" s="2"/>
      <c r="K47" s="2"/>
      <c r="L47" s="2"/>
      <c r="M47" s="2"/>
      <c r="N47" s="2"/>
      <c r="O47"/>
      <c r="P47"/>
      <c r="Q47"/>
      <c r="R47"/>
      <c r="S47"/>
      <c r="T47"/>
      <c r="U47"/>
      <c r="V47"/>
      <c r="W47"/>
      <c r="X47"/>
      <c r="Y47"/>
      <c r="Z47"/>
      <c r="AA47"/>
      <c r="AB47"/>
    </row>
    <row r="48" spans="1:28">
      <c r="A48"/>
      <c r="B48"/>
      <c r="C48"/>
      <c r="D48"/>
      <c r="E48"/>
      <c r="F48"/>
      <c r="G48"/>
      <c r="H48"/>
      <c r="I48"/>
      <c r="J48" s="2"/>
      <c r="K48" s="2"/>
      <c r="L48" s="2"/>
      <c r="M48" s="2"/>
      <c r="N48" s="2"/>
      <c r="O48"/>
      <c r="P48"/>
      <c r="Q48"/>
      <c r="R48"/>
      <c r="S48"/>
      <c r="T48"/>
      <c r="U48"/>
      <c r="V48"/>
      <c r="W48"/>
      <c r="X48"/>
      <c r="Y48"/>
      <c r="Z48"/>
      <c r="AA48"/>
      <c r="AB48"/>
    </row>
    <row r="49" spans="1:28">
      <c r="A49" s="86"/>
      <c r="B49" t="s">
        <v>95</v>
      </c>
      <c r="C49"/>
      <c r="D49"/>
      <c r="E49"/>
      <c r="F49"/>
      <c r="G49"/>
      <c r="H49"/>
      <c r="I49"/>
      <c r="J49" s="2"/>
      <c r="K49" s="2"/>
      <c r="L49" s="2"/>
      <c r="M49" s="2"/>
      <c r="N49" s="2"/>
      <c r="O49"/>
      <c r="P49"/>
      <c r="Q49"/>
      <c r="R49"/>
      <c r="S49"/>
      <c r="T49"/>
      <c r="U49"/>
      <c r="V49"/>
      <c r="W49"/>
      <c r="X49"/>
      <c r="Y49"/>
      <c r="Z49"/>
      <c r="AA49"/>
      <c r="AB49"/>
    </row>
    <row r="50" spans="1:28">
      <c r="A50" s="86"/>
      <c r="B50" t="s">
        <v>94</v>
      </c>
      <c r="C50"/>
      <c r="D50"/>
      <c r="E50"/>
      <c r="F50"/>
      <c r="G50"/>
      <c r="H50"/>
      <c r="I50"/>
      <c r="J50" s="2"/>
      <c r="K50" s="2"/>
      <c r="L50" s="2"/>
      <c r="M50" s="2"/>
      <c r="N50" s="2"/>
      <c r="O50"/>
      <c r="P50"/>
      <c r="Q50"/>
      <c r="R50"/>
      <c r="S50"/>
      <c r="T50"/>
      <c r="U50"/>
      <c r="V50"/>
      <c r="W50"/>
      <c r="X50"/>
      <c r="Y50"/>
      <c r="Z50"/>
      <c r="AA50"/>
      <c r="AB50"/>
    </row>
    <row r="51" spans="1:28">
      <c r="A51"/>
      <c r="B51"/>
      <c r="C51"/>
      <c r="D51"/>
      <c r="E51"/>
      <c r="F51"/>
      <c r="G51"/>
      <c r="H51"/>
      <c r="I51"/>
      <c r="J51" s="2"/>
      <c r="K51" s="2"/>
      <c r="L51" s="2"/>
      <c r="M51" s="2"/>
      <c r="N51" s="2"/>
      <c r="O51"/>
      <c r="P51"/>
      <c r="Q51"/>
      <c r="R51"/>
      <c r="S51"/>
      <c r="T51"/>
      <c r="U51"/>
      <c r="V51"/>
      <c r="W51"/>
      <c r="X51"/>
      <c r="Y51"/>
      <c r="Z51"/>
      <c r="AA51"/>
      <c r="AB51"/>
    </row>
    <row r="52" spans="1:28" ht="16.2">
      <c r="A52" s="3" t="s">
        <v>48</v>
      </c>
      <c r="B52" s="3" t="s">
        <v>93</v>
      </c>
      <c r="C52" s="5"/>
      <c r="D52" s="3"/>
      <c r="E52" s="3"/>
      <c r="F52" s="3"/>
      <c r="G52" s="3"/>
      <c r="H52" s="2"/>
      <c r="I52" s="44"/>
      <c r="J52" s="2"/>
      <c r="K52" s="2"/>
      <c r="L52" s="2"/>
      <c r="M52" s="2"/>
      <c r="N52" s="2"/>
      <c r="O52"/>
      <c r="P52"/>
      <c r="Q52"/>
      <c r="R52"/>
      <c r="S52"/>
      <c r="T52"/>
      <c r="U52"/>
      <c r="V52"/>
      <c r="W52"/>
      <c r="X52"/>
      <c r="Y52"/>
      <c r="Z52"/>
      <c r="AA52"/>
      <c r="AB52"/>
    </row>
    <row r="53" spans="1:28" ht="16.2">
      <c r="A53" s="5"/>
      <c r="B53" s="5" t="s">
        <v>92</v>
      </c>
      <c r="C53" s="5"/>
      <c r="D53" s="4"/>
      <c r="E53" s="4"/>
      <c r="F53" s="3"/>
      <c r="G53" s="3"/>
      <c r="H53" s="2"/>
      <c r="I53" s="44"/>
      <c r="J53" s="2"/>
      <c r="K53" s="2"/>
      <c r="L53" s="2"/>
      <c r="M53" s="2"/>
      <c r="N53" s="2"/>
      <c r="O53"/>
      <c r="P53"/>
      <c r="Q53"/>
      <c r="R53"/>
      <c r="S53"/>
      <c r="T53"/>
      <c r="U53"/>
      <c r="V53"/>
      <c r="W53"/>
      <c r="X53"/>
      <c r="Y53"/>
      <c r="Z53"/>
      <c r="AA53"/>
      <c r="AB53"/>
    </row>
    <row r="54" spans="1:28">
      <c r="A54"/>
      <c r="B54"/>
      <c r="C54"/>
      <c r="D54"/>
      <c r="E54"/>
      <c r="F54"/>
      <c r="G54"/>
      <c r="H54"/>
      <c r="I54"/>
      <c r="J54" s="2"/>
      <c r="K54" s="2"/>
      <c r="L54" s="2"/>
      <c r="M54" s="2"/>
      <c r="N54" s="2"/>
      <c r="O54"/>
      <c r="P54"/>
      <c r="Q54"/>
      <c r="R54"/>
      <c r="S54"/>
      <c r="T54"/>
      <c r="U54"/>
      <c r="V54"/>
      <c r="W54"/>
      <c r="X54"/>
      <c r="Y54"/>
      <c r="Z54"/>
      <c r="AA54"/>
      <c r="AB54"/>
    </row>
    <row r="55" spans="1:28">
      <c r="A55"/>
      <c r="B55" t="s">
        <v>91</v>
      </c>
      <c r="C55"/>
      <c r="D55"/>
      <c r="E55"/>
      <c r="F55"/>
      <c r="G55"/>
      <c r="H55"/>
      <c r="I55"/>
      <c r="J55" s="2"/>
      <c r="K55" s="2"/>
      <c r="L55" s="2"/>
      <c r="M55" s="2"/>
      <c r="N55" s="2"/>
      <c r="O55"/>
      <c r="P55"/>
      <c r="Q55"/>
      <c r="R55"/>
      <c r="S55"/>
      <c r="T55"/>
      <c r="U55"/>
      <c r="V55"/>
      <c r="W55"/>
      <c r="X55"/>
      <c r="Y55"/>
      <c r="Z55"/>
      <c r="AA55"/>
      <c r="AB55"/>
    </row>
    <row r="56" spans="1:28">
      <c r="A56" s="86"/>
      <c r="B56" t="s">
        <v>90</v>
      </c>
      <c r="C56"/>
      <c r="D56"/>
      <c r="E56"/>
      <c r="F56"/>
      <c r="G56"/>
      <c r="H56"/>
      <c r="I56"/>
      <c r="J56" s="2"/>
      <c r="K56" s="2"/>
      <c r="L56" s="2"/>
      <c r="M56" s="2"/>
      <c r="N56" s="2"/>
      <c r="O56"/>
      <c r="P56"/>
      <c r="Q56"/>
      <c r="R56"/>
      <c r="S56"/>
      <c r="T56"/>
      <c r="U56"/>
      <c r="V56"/>
      <c r="W56"/>
      <c r="X56"/>
      <c r="Y56"/>
      <c r="Z56"/>
      <c r="AA56"/>
      <c r="AB56"/>
    </row>
    <row r="57" spans="1:28">
      <c r="A57"/>
      <c r="B57"/>
      <c r="C57"/>
      <c r="D57"/>
      <c r="E57"/>
      <c r="F57"/>
      <c r="G57"/>
      <c r="H57"/>
      <c r="I57"/>
      <c r="J57" s="2"/>
      <c r="K57" s="2"/>
      <c r="L57" s="2"/>
      <c r="M57" s="2"/>
      <c r="N57" s="2"/>
      <c r="O57"/>
      <c r="P57"/>
      <c r="Q57"/>
      <c r="R57"/>
      <c r="S57"/>
      <c r="T57"/>
      <c r="U57"/>
      <c r="V57"/>
      <c r="W57"/>
      <c r="X57"/>
      <c r="Y57"/>
      <c r="Z57"/>
      <c r="AA57"/>
      <c r="AB57"/>
    </row>
    <row r="58" spans="1:28">
      <c r="A58"/>
      <c r="B58"/>
      <c r="C58"/>
      <c r="D58"/>
      <c r="E58"/>
      <c r="F58"/>
      <c r="G58"/>
      <c r="H58"/>
      <c r="I58"/>
      <c r="J58" s="2"/>
      <c r="K58" s="2"/>
      <c r="L58" s="2"/>
      <c r="M58" s="2"/>
      <c r="N58" s="2"/>
      <c r="O58"/>
      <c r="P58"/>
      <c r="Q58"/>
      <c r="R58"/>
      <c r="S58"/>
      <c r="T58"/>
      <c r="U58"/>
      <c r="V58"/>
      <c r="W58"/>
      <c r="X58"/>
      <c r="Y58"/>
      <c r="Z58"/>
      <c r="AA58"/>
      <c r="AB58"/>
    </row>
    <row r="59" spans="1:28">
      <c r="A59"/>
      <c r="B59"/>
      <c r="C59"/>
      <c r="D59"/>
      <c r="E59"/>
      <c r="F59"/>
      <c r="G59"/>
      <c r="H59"/>
      <c r="I59"/>
      <c r="J59" s="2"/>
      <c r="K59" s="2"/>
      <c r="L59" s="2"/>
      <c r="M59" s="2"/>
      <c r="N59" s="2"/>
      <c r="O59"/>
      <c r="P59"/>
      <c r="Q59"/>
      <c r="R59"/>
      <c r="S59"/>
      <c r="T59"/>
      <c r="U59"/>
      <c r="V59"/>
      <c r="W59"/>
      <c r="X59"/>
      <c r="Y59"/>
      <c r="Z59"/>
      <c r="AA59"/>
      <c r="AB59"/>
    </row>
    <row r="60" spans="1:28">
      <c r="A60"/>
      <c r="B60"/>
      <c r="C60"/>
      <c r="D60"/>
      <c r="E60"/>
      <c r="F60"/>
      <c r="G60"/>
      <c r="H60"/>
      <c r="I60"/>
      <c r="J60" s="2"/>
      <c r="K60" s="2"/>
      <c r="L60" s="2"/>
      <c r="M60" s="2"/>
      <c r="N60" s="2"/>
      <c r="O60"/>
      <c r="P60"/>
      <c r="Q60"/>
      <c r="R60"/>
      <c r="S60"/>
      <c r="T60"/>
      <c r="U60"/>
      <c r="V60"/>
      <c r="W60"/>
      <c r="X60"/>
      <c r="Y60"/>
      <c r="Z60"/>
      <c r="AA60"/>
      <c r="AB60"/>
    </row>
    <row r="61" spans="1:28">
      <c r="A61"/>
      <c r="B61"/>
      <c r="C61"/>
      <c r="D61"/>
      <c r="E61"/>
      <c r="F61"/>
      <c r="G61"/>
      <c r="H61"/>
      <c r="I61"/>
      <c r="J61" s="2"/>
      <c r="K61" s="2"/>
      <c r="L61" s="2"/>
      <c r="M61" s="2"/>
      <c r="N61" s="2"/>
      <c r="O61"/>
      <c r="P61"/>
      <c r="Q61"/>
      <c r="R61"/>
      <c r="S61"/>
      <c r="T61"/>
      <c r="U61"/>
      <c r="V61"/>
      <c r="W61"/>
      <c r="X61"/>
      <c r="Y61"/>
      <c r="Z61"/>
      <c r="AA61"/>
      <c r="AB61"/>
    </row>
    <row r="62" spans="1:28">
      <c r="A62"/>
      <c r="B62"/>
      <c r="C62"/>
      <c r="D62"/>
      <c r="E62"/>
      <c r="F62"/>
      <c r="G62"/>
      <c r="H62"/>
      <c r="I62"/>
      <c r="J62" s="2"/>
      <c r="K62" s="2"/>
      <c r="L62" s="2"/>
      <c r="M62" s="2"/>
      <c r="N62" s="2"/>
      <c r="O62"/>
      <c r="P62"/>
      <c r="Q62"/>
      <c r="R62"/>
      <c r="S62"/>
      <c r="T62"/>
      <c r="U62"/>
      <c r="V62"/>
      <c r="W62"/>
      <c r="X62"/>
      <c r="Y62"/>
      <c r="Z62"/>
      <c r="AA62"/>
      <c r="AB62"/>
    </row>
    <row r="63" spans="1:28">
      <c r="A63"/>
      <c r="B63"/>
      <c r="C63"/>
      <c r="D63"/>
      <c r="E63"/>
      <c r="F63"/>
      <c r="G63"/>
      <c r="H63"/>
      <c r="I63"/>
      <c r="J63"/>
      <c r="K63"/>
      <c r="L63"/>
      <c r="M63"/>
      <c r="N63"/>
      <c r="O63"/>
      <c r="P63"/>
      <c r="Q63"/>
      <c r="R63"/>
      <c r="S63"/>
      <c r="T63"/>
      <c r="U63"/>
      <c r="V63"/>
      <c r="W63"/>
      <c r="X63"/>
      <c r="Y63"/>
      <c r="Z63"/>
      <c r="AA63"/>
      <c r="AB63"/>
    </row>
    <row r="64" spans="1:28">
      <c r="A64"/>
      <c r="B64"/>
      <c r="C64"/>
      <c r="D64"/>
      <c r="E64"/>
      <c r="F64"/>
      <c r="G64"/>
      <c r="H64"/>
      <c r="I64"/>
      <c r="J64"/>
      <c r="K64"/>
      <c r="L64"/>
      <c r="M64"/>
      <c r="N64"/>
      <c r="O64"/>
      <c r="P64"/>
      <c r="Q64"/>
      <c r="R64"/>
      <c r="S64"/>
      <c r="T64"/>
      <c r="U64"/>
      <c r="V64"/>
      <c r="W64"/>
      <c r="X64"/>
      <c r="Y64"/>
      <c r="Z64"/>
      <c r="AA64"/>
      <c r="AB64"/>
    </row>
    <row r="65" spans="1:28">
      <c r="A65"/>
      <c r="B65"/>
      <c r="C65"/>
      <c r="D65"/>
      <c r="E65"/>
      <c r="F65"/>
      <c r="G65"/>
      <c r="H65"/>
      <c r="I65"/>
      <c r="J65"/>
      <c r="K65"/>
      <c r="L65"/>
      <c r="M65"/>
      <c r="N65"/>
      <c r="O65"/>
      <c r="P65"/>
      <c r="Q65"/>
      <c r="R65"/>
      <c r="S65"/>
      <c r="T65"/>
      <c r="U65"/>
      <c r="V65"/>
      <c r="W65"/>
      <c r="X65"/>
      <c r="Y65"/>
      <c r="Z65"/>
      <c r="AA65"/>
      <c r="AB65"/>
    </row>
    <row r="66" spans="1:28">
      <c r="A66"/>
      <c r="B66"/>
      <c r="C66"/>
      <c r="D66"/>
      <c r="E66"/>
      <c r="F66"/>
      <c r="G66"/>
      <c r="H66"/>
      <c r="I66"/>
      <c r="J66"/>
      <c r="K66"/>
      <c r="L66"/>
      <c r="M66"/>
      <c r="N66"/>
      <c r="O66"/>
      <c r="P66"/>
      <c r="Q66"/>
      <c r="R66"/>
      <c r="S66"/>
      <c r="T66"/>
      <c r="U66"/>
      <c r="V66"/>
      <c r="W66"/>
      <c r="X66"/>
      <c r="Y66"/>
      <c r="Z66"/>
      <c r="AA66"/>
      <c r="AB66"/>
    </row>
    <row r="67" spans="1:28">
      <c r="A67"/>
      <c r="B67"/>
      <c r="C67"/>
      <c r="D67"/>
      <c r="E67"/>
      <c r="F67"/>
      <c r="G67"/>
      <c r="H67"/>
      <c r="I67"/>
      <c r="J67"/>
      <c r="K67"/>
      <c r="L67"/>
      <c r="M67"/>
      <c r="N67"/>
      <c r="O67"/>
      <c r="P67"/>
      <c r="Q67"/>
      <c r="R67"/>
      <c r="S67"/>
      <c r="T67"/>
      <c r="U67"/>
      <c r="V67"/>
      <c r="W67"/>
      <c r="X67"/>
      <c r="Y67"/>
      <c r="Z67"/>
      <c r="AA67"/>
      <c r="AB67"/>
    </row>
    <row r="68" spans="1:28">
      <c r="A68"/>
      <c r="B68"/>
      <c r="C68"/>
      <c r="D68"/>
      <c r="E68"/>
      <c r="F68"/>
      <c r="G68"/>
      <c r="H68"/>
      <c r="I68"/>
      <c r="J68"/>
      <c r="K68"/>
      <c r="L68"/>
      <c r="M68"/>
      <c r="N68"/>
      <c r="O68"/>
      <c r="P68"/>
      <c r="Q68"/>
      <c r="R68"/>
      <c r="S68"/>
      <c r="T68"/>
      <c r="U68"/>
      <c r="V68"/>
      <c r="W68"/>
      <c r="X68"/>
      <c r="Y68"/>
      <c r="Z68"/>
      <c r="AA68"/>
      <c r="AB68"/>
    </row>
    <row r="69" spans="1:28">
      <c r="A69"/>
      <c r="B69"/>
      <c r="C69"/>
      <c r="D69"/>
      <c r="E69"/>
      <c r="F69"/>
      <c r="G69"/>
      <c r="H69"/>
      <c r="I69"/>
      <c r="J69"/>
      <c r="K69"/>
      <c r="L69"/>
      <c r="M69"/>
      <c r="N69"/>
      <c r="O69"/>
      <c r="P69"/>
      <c r="Q69"/>
      <c r="R69"/>
      <c r="S69"/>
      <c r="T69"/>
      <c r="U69"/>
      <c r="V69"/>
      <c r="W69"/>
      <c r="X69"/>
      <c r="Y69"/>
      <c r="Z69"/>
      <c r="AA69"/>
      <c r="AB69"/>
    </row>
    <row r="70" spans="1:28">
      <c r="A70"/>
      <c r="B70"/>
      <c r="C70"/>
      <c r="D70"/>
      <c r="E70"/>
      <c r="F70"/>
      <c r="G70"/>
      <c r="H70"/>
      <c r="I70"/>
      <c r="J70"/>
      <c r="K70"/>
      <c r="L70"/>
      <c r="M70"/>
      <c r="N70"/>
      <c r="O70"/>
      <c r="P70"/>
      <c r="Q70"/>
      <c r="R70"/>
      <c r="S70"/>
      <c r="T70"/>
      <c r="U70"/>
      <c r="V70"/>
      <c r="W70"/>
      <c r="X70"/>
      <c r="Y70"/>
      <c r="Z70"/>
      <c r="AA70"/>
      <c r="AB70"/>
    </row>
    <row r="71" spans="1:28">
      <c r="A71"/>
      <c r="B71"/>
      <c r="C71"/>
      <c r="D71"/>
      <c r="E71"/>
      <c r="F71"/>
      <c r="G71"/>
      <c r="H71"/>
      <c r="I71"/>
      <c r="J71"/>
      <c r="K71"/>
      <c r="L71"/>
      <c r="M71"/>
      <c r="N71"/>
      <c r="O71"/>
      <c r="P71"/>
      <c r="Q71"/>
      <c r="R71"/>
      <c r="S71"/>
      <c r="T71"/>
      <c r="U71"/>
      <c r="V71"/>
      <c r="W71"/>
      <c r="X71"/>
      <c r="Y71"/>
      <c r="Z71"/>
      <c r="AA71"/>
      <c r="AB71"/>
    </row>
    <row r="72" spans="1:28">
      <c r="A72"/>
      <c r="B72"/>
      <c r="C72"/>
      <c r="D72"/>
      <c r="E72"/>
      <c r="F72"/>
      <c r="G72"/>
      <c r="H72"/>
      <c r="I72"/>
      <c r="J72"/>
      <c r="K72"/>
      <c r="L72"/>
      <c r="M72"/>
      <c r="N72"/>
      <c r="O72"/>
      <c r="P72"/>
      <c r="Q72"/>
      <c r="R72"/>
      <c r="S72"/>
      <c r="T72"/>
      <c r="U72"/>
      <c r="V72"/>
      <c r="W72"/>
      <c r="X72"/>
      <c r="Y72"/>
      <c r="Z72"/>
      <c r="AA72"/>
      <c r="AB72"/>
    </row>
    <row r="73" spans="1:28">
      <c r="A73"/>
      <c r="B73"/>
      <c r="C73"/>
      <c r="D73"/>
      <c r="E73"/>
      <c r="F73"/>
      <c r="G73"/>
      <c r="H73"/>
      <c r="I73"/>
      <c r="J73"/>
      <c r="K73"/>
      <c r="L73"/>
      <c r="M73"/>
      <c r="N73"/>
      <c r="O73"/>
      <c r="P73"/>
      <c r="Q73"/>
      <c r="R73"/>
      <c r="S73"/>
      <c r="T73"/>
      <c r="U73"/>
      <c r="V73"/>
      <c r="W73"/>
      <c r="X73"/>
      <c r="Y73"/>
      <c r="Z73"/>
      <c r="AA73"/>
      <c r="AB73"/>
    </row>
    <row r="74" spans="1:28">
      <c r="A74"/>
      <c r="B74"/>
      <c r="C74"/>
      <c r="D74"/>
      <c r="E74"/>
      <c r="F74"/>
      <c r="G74"/>
      <c r="H74"/>
      <c r="I74"/>
      <c r="J74"/>
      <c r="K74"/>
      <c r="L74"/>
      <c r="M74"/>
      <c r="N74"/>
      <c r="O74"/>
      <c r="P74"/>
      <c r="Q74"/>
      <c r="R74"/>
      <c r="S74"/>
      <c r="T74"/>
      <c r="U74"/>
      <c r="V74"/>
      <c r="W74"/>
      <c r="X74"/>
      <c r="Y74"/>
      <c r="Z74"/>
      <c r="AA74"/>
      <c r="AB74"/>
    </row>
    <row r="75" spans="1:28">
      <c r="A75"/>
      <c r="B75"/>
      <c r="C75"/>
      <c r="D75"/>
      <c r="E75"/>
      <c r="F75"/>
      <c r="G75"/>
      <c r="H75"/>
      <c r="I75"/>
      <c r="J75"/>
      <c r="K75"/>
      <c r="L75"/>
      <c r="M75"/>
      <c r="N75"/>
      <c r="O75"/>
      <c r="P75"/>
      <c r="Q75"/>
      <c r="R75"/>
      <c r="S75"/>
      <c r="T75"/>
      <c r="U75"/>
      <c r="V75"/>
      <c r="W75"/>
      <c r="X75"/>
      <c r="Y75"/>
      <c r="Z75"/>
      <c r="AA75"/>
      <c r="AB75"/>
    </row>
    <row r="76" spans="1:28">
      <c r="A76"/>
      <c r="B76"/>
      <c r="C76"/>
      <c r="D76"/>
      <c r="E76"/>
      <c r="F76"/>
      <c r="G76"/>
      <c r="H76"/>
      <c r="I76"/>
      <c r="J76"/>
      <c r="K76"/>
      <c r="L76"/>
      <c r="M76"/>
      <c r="N76"/>
      <c r="O76"/>
      <c r="P76"/>
      <c r="Q76"/>
      <c r="R76"/>
      <c r="S76"/>
      <c r="T76"/>
      <c r="U76"/>
      <c r="V76"/>
      <c r="W76"/>
      <c r="X76"/>
      <c r="Y76"/>
      <c r="Z76"/>
      <c r="AA76"/>
      <c r="AB76"/>
    </row>
    <row r="77" spans="1:28">
      <c r="A77"/>
      <c r="B77"/>
      <c r="C77"/>
      <c r="D77"/>
      <c r="E77"/>
      <c r="F77"/>
      <c r="G77"/>
      <c r="H77"/>
      <c r="I77"/>
      <c r="J77"/>
      <c r="K77"/>
      <c r="L77"/>
      <c r="M77"/>
      <c r="N77"/>
      <c r="O77"/>
      <c r="P77"/>
      <c r="Q77"/>
      <c r="R77"/>
      <c r="S77"/>
      <c r="T77"/>
      <c r="U77"/>
      <c r="V77"/>
      <c r="W77"/>
      <c r="X77"/>
      <c r="Y77"/>
      <c r="Z77"/>
      <c r="AA77"/>
      <c r="AB77"/>
    </row>
    <row r="78" spans="1:28">
      <c r="A78"/>
      <c r="B78"/>
      <c r="C78"/>
      <c r="D78"/>
      <c r="E78"/>
      <c r="F78"/>
      <c r="G78"/>
      <c r="H78"/>
      <c r="I78"/>
      <c r="J78"/>
      <c r="K78"/>
      <c r="L78"/>
      <c r="M78"/>
      <c r="N78"/>
      <c r="O78"/>
      <c r="P78"/>
      <c r="Q78"/>
      <c r="R78"/>
      <c r="S78"/>
      <c r="T78"/>
      <c r="U78"/>
      <c r="V78"/>
      <c r="W78"/>
      <c r="X78"/>
      <c r="Y78"/>
      <c r="Z78"/>
      <c r="AA78"/>
      <c r="AB78"/>
    </row>
    <row r="79" spans="1:28">
      <c r="A79"/>
      <c r="B79"/>
      <c r="C79"/>
      <c r="D79"/>
      <c r="E79"/>
      <c r="F79"/>
      <c r="G79"/>
      <c r="H79"/>
      <c r="I79"/>
      <c r="J79"/>
      <c r="K79"/>
      <c r="L79"/>
      <c r="M79"/>
      <c r="N79"/>
      <c r="O79"/>
      <c r="P79"/>
      <c r="Q79"/>
      <c r="R79"/>
      <c r="S79"/>
      <c r="T79"/>
      <c r="U79"/>
      <c r="V79"/>
      <c r="W79"/>
      <c r="X79"/>
      <c r="Y79"/>
      <c r="Z79"/>
      <c r="AA79"/>
      <c r="AB79"/>
    </row>
    <row r="80" spans="1:28">
      <c r="A80"/>
      <c r="B80"/>
      <c r="C80"/>
      <c r="D80"/>
      <c r="E80"/>
      <c r="F80"/>
      <c r="G80"/>
      <c r="H80"/>
      <c r="I80"/>
      <c r="J80"/>
      <c r="K80"/>
      <c r="L80"/>
      <c r="M80"/>
      <c r="N80"/>
      <c r="O80"/>
      <c r="P80"/>
      <c r="Q80"/>
      <c r="R80"/>
      <c r="S80"/>
      <c r="T80"/>
      <c r="U80"/>
      <c r="V80"/>
      <c r="W80"/>
      <c r="X80"/>
      <c r="Y80"/>
      <c r="Z80"/>
      <c r="AA80"/>
      <c r="AB80"/>
    </row>
    <row r="81" spans="1:28">
      <c r="A81"/>
      <c r="B81"/>
      <c r="C81"/>
      <c r="D81"/>
      <c r="E81"/>
      <c r="F81"/>
      <c r="G81"/>
      <c r="H81"/>
      <c r="I81"/>
      <c r="J81"/>
      <c r="K81"/>
      <c r="L81"/>
      <c r="M81"/>
      <c r="N81"/>
      <c r="O81"/>
      <c r="P81"/>
      <c r="Q81"/>
      <c r="R81"/>
      <c r="S81"/>
      <c r="T81"/>
      <c r="U81"/>
      <c r="V81"/>
      <c r="W81"/>
      <c r="X81"/>
      <c r="Y81"/>
      <c r="Z81"/>
      <c r="AA81"/>
      <c r="AB81"/>
    </row>
    <row r="82" spans="1:28">
      <c r="A82"/>
      <c r="B82"/>
      <c r="C82"/>
      <c r="D82"/>
      <c r="E82"/>
      <c r="F82"/>
      <c r="G82"/>
      <c r="H82"/>
      <c r="I82"/>
      <c r="J82"/>
      <c r="K82"/>
      <c r="L82"/>
      <c r="M82"/>
      <c r="N82"/>
      <c r="O82"/>
      <c r="P82"/>
      <c r="Q82"/>
      <c r="R82"/>
      <c r="S82"/>
      <c r="T82"/>
      <c r="U82"/>
      <c r="V82"/>
      <c r="W82"/>
      <c r="X82"/>
      <c r="Y82"/>
      <c r="Z82"/>
      <c r="AA82"/>
      <c r="AB82"/>
    </row>
    <row r="83" spans="1:28">
      <c r="A83"/>
      <c r="B83"/>
      <c r="C83"/>
      <c r="D83"/>
      <c r="E83"/>
      <c r="F83"/>
      <c r="G83"/>
      <c r="H83"/>
      <c r="I83"/>
      <c r="J83"/>
      <c r="K83"/>
      <c r="L83"/>
      <c r="M83"/>
      <c r="N83"/>
      <c r="O83"/>
      <c r="P83"/>
      <c r="Q83"/>
      <c r="R83"/>
      <c r="S83"/>
      <c r="T83"/>
      <c r="U83"/>
      <c r="V83"/>
      <c r="W83"/>
      <c r="X83"/>
      <c r="Y83"/>
      <c r="Z83"/>
      <c r="AA83"/>
      <c r="AB83"/>
    </row>
    <row r="84" spans="1:28">
      <c r="A84"/>
      <c r="B84"/>
      <c r="C84"/>
      <c r="D84"/>
      <c r="E84"/>
      <c r="F84"/>
      <c r="G84"/>
      <c r="H84"/>
      <c r="I84"/>
      <c r="J84"/>
      <c r="K84"/>
      <c r="L84"/>
      <c r="M84"/>
      <c r="N84"/>
      <c r="O84"/>
      <c r="P84"/>
      <c r="Q84"/>
      <c r="R84"/>
      <c r="S84"/>
      <c r="T84"/>
      <c r="U84"/>
      <c r="V84"/>
      <c r="W84"/>
      <c r="X84"/>
      <c r="Y84"/>
      <c r="Z84"/>
      <c r="AA84"/>
      <c r="AB84"/>
    </row>
    <row r="85" spans="1:28">
      <c r="A85"/>
      <c r="B85"/>
      <c r="C85"/>
      <c r="D85"/>
      <c r="E85"/>
      <c r="F85"/>
      <c r="G85"/>
      <c r="H85"/>
      <c r="I85"/>
      <c r="J85"/>
      <c r="K85"/>
      <c r="L85"/>
      <c r="M85"/>
      <c r="N85"/>
      <c r="O85"/>
      <c r="P85"/>
      <c r="Q85"/>
      <c r="R85"/>
      <c r="S85"/>
      <c r="T85"/>
      <c r="U85"/>
      <c r="V85"/>
      <c r="W85"/>
      <c r="X85"/>
      <c r="Y85"/>
      <c r="Z85"/>
      <c r="AA85"/>
      <c r="AB85"/>
    </row>
    <row r="86" spans="1:28">
      <c r="A86"/>
      <c r="B86"/>
      <c r="C86"/>
      <c r="D86"/>
      <c r="E86"/>
      <c r="F86"/>
      <c r="G86"/>
      <c r="H86"/>
      <c r="I86"/>
      <c r="J86"/>
      <c r="K86"/>
      <c r="L86"/>
      <c r="M86"/>
      <c r="N86"/>
      <c r="O86"/>
      <c r="P86"/>
      <c r="Q86"/>
      <c r="R86"/>
      <c r="S86"/>
      <c r="T86"/>
      <c r="U86"/>
      <c r="V86"/>
      <c r="W86"/>
      <c r="X86"/>
      <c r="Y86"/>
      <c r="Z86"/>
      <c r="AA86"/>
      <c r="AB86"/>
    </row>
    <row r="87" spans="1:28">
      <c r="A87"/>
      <c r="B87"/>
      <c r="C87"/>
      <c r="D87"/>
      <c r="E87"/>
      <c r="F87"/>
      <c r="G87"/>
      <c r="H87"/>
      <c r="I87"/>
      <c r="J87"/>
      <c r="K87"/>
      <c r="L87"/>
      <c r="M87"/>
      <c r="N87"/>
      <c r="O87"/>
      <c r="P87"/>
      <c r="Q87"/>
      <c r="R87"/>
      <c r="S87"/>
      <c r="T87"/>
      <c r="U87"/>
      <c r="V87"/>
      <c r="W87"/>
      <c r="X87"/>
      <c r="Y87"/>
      <c r="Z87"/>
      <c r="AA87"/>
      <c r="AB87"/>
    </row>
    <row r="88" spans="1:28">
      <c r="A88"/>
      <c r="B88"/>
      <c r="C88"/>
      <c r="D88"/>
      <c r="E88"/>
      <c r="F88"/>
      <c r="G88"/>
      <c r="H88"/>
      <c r="I88"/>
      <c r="J88"/>
      <c r="K88"/>
      <c r="L88"/>
      <c r="M88"/>
      <c r="N88"/>
      <c r="O88"/>
      <c r="P88"/>
      <c r="Q88"/>
      <c r="R88"/>
      <c r="S88"/>
      <c r="T88"/>
      <c r="U88"/>
      <c r="V88"/>
      <c r="W88"/>
      <c r="X88"/>
      <c r="Y88"/>
      <c r="Z88"/>
      <c r="AA88"/>
      <c r="AB88"/>
    </row>
    <row r="89" spans="1:28">
      <c r="A89"/>
      <c r="B89"/>
      <c r="C89"/>
      <c r="D89"/>
      <c r="E89"/>
      <c r="F89"/>
      <c r="G89"/>
      <c r="H89"/>
      <c r="I89"/>
      <c r="J89"/>
      <c r="K89"/>
      <c r="L89"/>
      <c r="M89"/>
      <c r="N89"/>
      <c r="O89"/>
      <c r="P89"/>
      <c r="Q89"/>
      <c r="R89"/>
      <c r="S89"/>
      <c r="T89"/>
      <c r="U89"/>
      <c r="V89"/>
      <c r="W89"/>
      <c r="X89"/>
      <c r="Y89"/>
      <c r="Z89"/>
      <c r="AA89"/>
      <c r="AB89"/>
    </row>
    <row r="90" spans="1:28">
      <c r="A90"/>
      <c r="B90"/>
      <c r="C90"/>
      <c r="D90"/>
      <c r="E90"/>
      <c r="F90"/>
      <c r="G90"/>
      <c r="H90"/>
      <c r="I90"/>
      <c r="J90"/>
      <c r="K90"/>
      <c r="L90"/>
      <c r="M90"/>
      <c r="N90"/>
      <c r="O90"/>
      <c r="P90"/>
      <c r="Q90"/>
      <c r="R90"/>
      <c r="S90"/>
      <c r="T90"/>
      <c r="U90"/>
      <c r="V90"/>
      <c r="W90"/>
      <c r="X90"/>
      <c r="Y90"/>
      <c r="Z90"/>
      <c r="AA90"/>
      <c r="AB90"/>
    </row>
    <row r="91" spans="1:28">
      <c r="A91"/>
      <c r="B91"/>
      <c r="C91"/>
      <c r="D91"/>
      <c r="E91"/>
      <c r="F91"/>
      <c r="G91"/>
      <c r="H91"/>
      <c r="I91"/>
      <c r="J91"/>
      <c r="K91"/>
      <c r="L91"/>
      <c r="M91"/>
      <c r="N91"/>
      <c r="O91"/>
      <c r="P91"/>
      <c r="Q91"/>
      <c r="R91"/>
      <c r="S91"/>
      <c r="T91"/>
      <c r="U91"/>
      <c r="V91"/>
      <c r="W91"/>
      <c r="X91"/>
      <c r="Y91"/>
      <c r="Z91"/>
      <c r="AA91"/>
      <c r="AB91"/>
    </row>
    <row r="92" spans="1:28">
      <c r="A92"/>
      <c r="B92"/>
      <c r="C92"/>
      <c r="D92"/>
      <c r="E92"/>
      <c r="F92"/>
      <c r="G92"/>
      <c r="H92"/>
      <c r="I92"/>
      <c r="J92"/>
      <c r="K92"/>
      <c r="L92"/>
      <c r="M92"/>
      <c r="N92"/>
      <c r="O92"/>
      <c r="P92"/>
      <c r="Q92"/>
      <c r="R92"/>
      <c r="S92"/>
      <c r="T92"/>
      <c r="U92"/>
      <c r="V92"/>
      <c r="W92"/>
      <c r="X92"/>
      <c r="Y92"/>
      <c r="Z92"/>
      <c r="AA92"/>
      <c r="AB92"/>
    </row>
    <row r="93" spans="1:28">
      <c r="A93"/>
      <c r="B93"/>
      <c r="C93"/>
      <c r="D93"/>
      <c r="E93"/>
      <c r="F93"/>
      <c r="G93"/>
      <c r="H93"/>
      <c r="I93"/>
      <c r="J93"/>
      <c r="K93"/>
      <c r="L93"/>
      <c r="M93"/>
      <c r="N93"/>
      <c r="O93"/>
      <c r="P93"/>
      <c r="Q93"/>
      <c r="R93"/>
      <c r="S93"/>
      <c r="T93"/>
      <c r="U93"/>
      <c r="V93"/>
      <c r="W93"/>
      <c r="X93"/>
      <c r="Y93"/>
      <c r="Z93"/>
      <c r="AA93"/>
      <c r="AB93"/>
    </row>
    <row r="94" spans="1:28">
      <c r="A94"/>
      <c r="B94"/>
      <c r="C94"/>
      <c r="D94"/>
      <c r="E94"/>
      <c r="F94"/>
      <c r="G94"/>
      <c r="H94"/>
      <c r="I94"/>
      <c r="J94"/>
      <c r="K94"/>
      <c r="L94"/>
      <c r="M94"/>
      <c r="N94"/>
      <c r="O94"/>
      <c r="P94"/>
      <c r="Q94"/>
      <c r="R94"/>
      <c r="S94"/>
      <c r="T94"/>
      <c r="U94"/>
      <c r="V94"/>
      <c r="W94"/>
      <c r="X94"/>
      <c r="Y94"/>
      <c r="Z94"/>
      <c r="AA94"/>
      <c r="AB94"/>
    </row>
    <row r="95" spans="1:28">
      <c r="A95"/>
      <c r="B95"/>
      <c r="C95"/>
      <c r="D95"/>
      <c r="E95"/>
      <c r="F95"/>
      <c r="G95"/>
      <c r="H95"/>
      <c r="I95"/>
      <c r="J95"/>
      <c r="K95"/>
      <c r="L95"/>
      <c r="M95"/>
      <c r="N95"/>
      <c r="O95"/>
      <c r="P95"/>
      <c r="Q95"/>
      <c r="R95"/>
      <c r="S95"/>
      <c r="T95"/>
      <c r="U95"/>
      <c r="V95"/>
      <c r="W95"/>
      <c r="X95"/>
      <c r="Y95"/>
      <c r="Z95"/>
      <c r="AA95"/>
      <c r="AB95"/>
    </row>
    <row r="96" spans="1:28">
      <c r="A96"/>
      <c r="B96"/>
      <c r="C96"/>
      <c r="D96"/>
      <c r="E96"/>
      <c r="F96"/>
      <c r="G96"/>
      <c r="H96"/>
      <c r="I96"/>
      <c r="J96"/>
      <c r="K96"/>
      <c r="L96"/>
      <c r="M96"/>
      <c r="N96"/>
      <c r="O96"/>
      <c r="P96"/>
      <c r="Q96"/>
      <c r="R96"/>
      <c r="S96"/>
      <c r="T96"/>
      <c r="U96"/>
      <c r="V96"/>
      <c r="W96"/>
      <c r="X96"/>
      <c r="Y96"/>
      <c r="Z96"/>
      <c r="AA96"/>
      <c r="AB96"/>
    </row>
    <row r="97" spans="1:28">
      <c r="A97"/>
      <c r="B97"/>
      <c r="C97"/>
      <c r="D97"/>
      <c r="E97"/>
      <c r="F97"/>
      <c r="G97"/>
      <c r="H97"/>
      <c r="I97"/>
      <c r="J97"/>
      <c r="K97"/>
      <c r="L97"/>
      <c r="M97"/>
      <c r="N97"/>
      <c r="O97"/>
      <c r="P97"/>
      <c r="Q97"/>
      <c r="R97"/>
      <c r="S97"/>
      <c r="T97"/>
      <c r="U97"/>
      <c r="V97"/>
      <c r="W97"/>
      <c r="X97"/>
      <c r="Y97"/>
      <c r="Z97"/>
      <c r="AA97"/>
      <c r="AB97"/>
    </row>
    <row r="98" spans="1:28">
      <c r="A98"/>
      <c r="B98"/>
      <c r="C98"/>
      <c r="D98"/>
      <c r="E98"/>
      <c r="F98"/>
      <c r="G98"/>
      <c r="H98"/>
      <c r="I98"/>
      <c r="J98"/>
      <c r="K98"/>
      <c r="L98"/>
      <c r="M98"/>
      <c r="N98"/>
      <c r="O98"/>
      <c r="P98"/>
      <c r="Q98"/>
      <c r="R98"/>
      <c r="S98"/>
      <c r="T98"/>
      <c r="U98"/>
      <c r="V98"/>
      <c r="W98"/>
      <c r="X98"/>
      <c r="Y98"/>
      <c r="Z98"/>
      <c r="AA98"/>
      <c r="AB98"/>
    </row>
    <row r="99" spans="1:28">
      <c r="A99"/>
      <c r="B99"/>
      <c r="C99"/>
      <c r="D99"/>
      <c r="E99"/>
      <c r="F99"/>
      <c r="G99"/>
      <c r="H99"/>
      <c r="I99"/>
      <c r="J99"/>
      <c r="K99"/>
      <c r="L99"/>
      <c r="M99"/>
      <c r="N99"/>
      <c r="O99"/>
      <c r="P99"/>
      <c r="Q99"/>
      <c r="R99"/>
      <c r="S99"/>
      <c r="T99"/>
      <c r="U99"/>
      <c r="V99"/>
      <c r="W99"/>
      <c r="X99"/>
      <c r="Y99"/>
      <c r="Z99"/>
      <c r="AA99"/>
      <c r="AB99"/>
    </row>
    <row r="100" spans="1:28">
      <c r="A100"/>
      <c r="B100"/>
      <c r="C100"/>
      <c r="D100"/>
      <c r="E100"/>
      <c r="F100"/>
      <c r="G100"/>
      <c r="H100"/>
      <c r="I100"/>
      <c r="J100"/>
      <c r="K100"/>
      <c r="L100"/>
      <c r="M100"/>
      <c r="N100"/>
      <c r="O100"/>
      <c r="P100"/>
      <c r="Q100"/>
      <c r="R100"/>
      <c r="S100"/>
      <c r="T100"/>
      <c r="U100"/>
      <c r="V100"/>
      <c r="W100"/>
      <c r="X100"/>
      <c r="Y100"/>
      <c r="Z100"/>
      <c r="AA100"/>
      <c r="AB100"/>
    </row>
    <row r="101" spans="1:28">
      <c r="A101"/>
      <c r="B101"/>
      <c r="C101"/>
      <c r="D101"/>
      <c r="E101"/>
      <c r="F101"/>
      <c r="G101"/>
      <c r="H101"/>
      <c r="I101"/>
      <c r="J101"/>
      <c r="K101"/>
      <c r="L101"/>
      <c r="M101"/>
      <c r="N101"/>
      <c r="O101"/>
      <c r="P101"/>
      <c r="Q101"/>
      <c r="R101"/>
      <c r="S101"/>
      <c r="T101"/>
      <c r="U101"/>
      <c r="V101"/>
      <c r="W101"/>
      <c r="X101"/>
      <c r="Y101"/>
      <c r="Z101"/>
      <c r="AA101"/>
      <c r="AB101"/>
    </row>
    <row r="102" spans="1:28">
      <c r="A102"/>
      <c r="B102"/>
      <c r="C102"/>
      <c r="D102"/>
      <c r="E102"/>
      <c r="F102"/>
      <c r="G102"/>
      <c r="H102"/>
      <c r="I102"/>
      <c r="J102"/>
      <c r="K102"/>
      <c r="L102"/>
      <c r="M102"/>
      <c r="N102"/>
      <c r="O102"/>
      <c r="P102"/>
      <c r="Q102"/>
      <c r="R102"/>
      <c r="S102"/>
      <c r="T102"/>
      <c r="U102"/>
      <c r="V102"/>
      <c r="W102"/>
      <c r="X102"/>
      <c r="Y102"/>
      <c r="Z102"/>
      <c r="AA102"/>
      <c r="AB102"/>
    </row>
    <row r="103" spans="1:28">
      <c r="A103"/>
      <c r="B103"/>
      <c r="C103"/>
      <c r="D103"/>
      <c r="E103"/>
      <c r="F103"/>
      <c r="G103"/>
      <c r="H103"/>
      <c r="I103"/>
      <c r="J103"/>
      <c r="K103"/>
      <c r="L103"/>
      <c r="M103"/>
      <c r="N103"/>
      <c r="O103"/>
      <c r="P103"/>
      <c r="Q103"/>
      <c r="R103"/>
      <c r="S103"/>
      <c r="T103"/>
      <c r="U103"/>
      <c r="V103"/>
      <c r="W103"/>
      <c r="X103"/>
      <c r="Y103"/>
      <c r="Z103"/>
      <c r="AA103"/>
      <c r="AB103"/>
    </row>
    <row r="104" spans="1:28">
      <c r="A104"/>
      <c r="B104"/>
      <c r="C104"/>
      <c r="D104"/>
      <c r="E104"/>
      <c r="F104"/>
      <c r="G104"/>
      <c r="H104"/>
      <c r="I104"/>
      <c r="J104"/>
      <c r="K104"/>
      <c r="L104"/>
      <c r="M104"/>
      <c r="N104"/>
      <c r="O104"/>
      <c r="P104"/>
      <c r="Q104"/>
      <c r="R104"/>
      <c r="S104"/>
      <c r="T104"/>
      <c r="U104"/>
      <c r="V104"/>
      <c r="W104"/>
      <c r="X104"/>
      <c r="Y104"/>
      <c r="Z104"/>
      <c r="AA104"/>
      <c r="AB104"/>
    </row>
    <row r="105" spans="1:28">
      <c r="A105"/>
      <c r="B105"/>
      <c r="C105"/>
      <c r="D105"/>
      <c r="E105"/>
      <c r="F105"/>
      <c r="G105"/>
      <c r="H105"/>
      <c r="I105"/>
      <c r="J105"/>
      <c r="K105"/>
      <c r="L105"/>
      <c r="M105"/>
      <c r="N105"/>
      <c r="O105"/>
      <c r="P105"/>
      <c r="Q105"/>
      <c r="R105"/>
      <c r="S105"/>
      <c r="T105"/>
      <c r="U105"/>
      <c r="V105"/>
      <c r="W105"/>
      <c r="X105"/>
      <c r="Y105"/>
      <c r="Z105"/>
      <c r="AA105"/>
      <c r="AB105"/>
    </row>
    <row r="106" spans="1:28">
      <c r="A106"/>
      <c r="B106"/>
      <c r="C106"/>
      <c r="D106"/>
      <c r="E106"/>
      <c r="F106"/>
      <c r="G106"/>
      <c r="H106"/>
      <c r="I106"/>
      <c r="J106"/>
      <c r="K106"/>
      <c r="L106"/>
      <c r="M106"/>
      <c r="N106"/>
      <c r="O106"/>
      <c r="P106"/>
      <c r="Q106"/>
      <c r="R106"/>
      <c r="S106"/>
      <c r="T106"/>
      <c r="U106"/>
      <c r="V106"/>
      <c r="W106"/>
      <c r="X106"/>
      <c r="Y106"/>
      <c r="Z106"/>
      <c r="AA106"/>
      <c r="AB106"/>
    </row>
    <row r="107" spans="1:28">
      <c r="A107"/>
      <c r="B107"/>
      <c r="C107"/>
      <c r="D107"/>
      <c r="E107"/>
      <c r="F107"/>
      <c r="G107"/>
      <c r="H107"/>
      <c r="I107"/>
      <c r="J107"/>
      <c r="K107"/>
      <c r="L107"/>
      <c r="M107"/>
      <c r="N107"/>
      <c r="O107"/>
      <c r="P107"/>
      <c r="Q107"/>
      <c r="R107"/>
      <c r="S107"/>
      <c r="T107"/>
      <c r="U107"/>
      <c r="V107"/>
      <c r="W107"/>
      <c r="X107"/>
      <c r="Y107"/>
      <c r="Z107"/>
      <c r="AA107"/>
      <c r="AB107"/>
    </row>
    <row r="108" spans="1:28">
      <c r="A108"/>
      <c r="B108"/>
      <c r="C108"/>
      <c r="D108"/>
      <c r="E108"/>
      <c r="F108"/>
      <c r="G108"/>
      <c r="H108"/>
      <c r="I108"/>
      <c r="J108"/>
      <c r="K108"/>
      <c r="L108"/>
      <c r="M108"/>
      <c r="N108"/>
      <c r="O108"/>
      <c r="P108"/>
      <c r="Q108"/>
      <c r="R108"/>
      <c r="S108"/>
      <c r="T108"/>
      <c r="U108"/>
      <c r="V108"/>
      <c r="W108"/>
      <c r="X108"/>
      <c r="Y108"/>
      <c r="Z108"/>
      <c r="AA108"/>
      <c r="AB108"/>
    </row>
    <row r="109" spans="1:28">
      <c r="A109"/>
      <c r="B109"/>
      <c r="C109"/>
      <c r="D109"/>
      <c r="E109"/>
      <c r="F109"/>
      <c r="G109"/>
      <c r="H109"/>
      <c r="I109"/>
      <c r="J109"/>
      <c r="K109"/>
      <c r="L109"/>
      <c r="M109"/>
      <c r="N109"/>
      <c r="O109"/>
      <c r="P109"/>
      <c r="Q109"/>
      <c r="R109"/>
      <c r="S109"/>
      <c r="T109"/>
      <c r="U109"/>
      <c r="V109"/>
      <c r="W109"/>
      <c r="X109"/>
      <c r="Y109"/>
      <c r="Z109"/>
      <c r="AA109"/>
      <c r="AB109"/>
    </row>
    <row r="110" spans="1:28">
      <c r="A110"/>
      <c r="B110"/>
      <c r="C110"/>
      <c r="D110"/>
      <c r="E110"/>
      <c r="F110"/>
      <c r="G110"/>
      <c r="H110"/>
      <c r="I110"/>
      <c r="J110"/>
      <c r="K110"/>
      <c r="L110"/>
      <c r="M110"/>
      <c r="N110"/>
      <c r="O110"/>
      <c r="P110"/>
      <c r="Q110"/>
      <c r="R110"/>
      <c r="S110"/>
      <c r="T110"/>
      <c r="U110"/>
      <c r="V110"/>
      <c r="W110"/>
      <c r="X110"/>
      <c r="Y110"/>
      <c r="Z110"/>
      <c r="AA110"/>
      <c r="AB110"/>
    </row>
    <row r="111" spans="1:28">
      <c r="A111"/>
      <c r="B111"/>
      <c r="C111"/>
      <c r="D111"/>
      <c r="E111"/>
      <c r="F111"/>
      <c r="G111"/>
      <c r="H111"/>
      <c r="I111"/>
      <c r="J111"/>
      <c r="K111"/>
      <c r="L111"/>
      <c r="M111"/>
      <c r="N111"/>
      <c r="O111"/>
      <c r="P111"/>
      <c r="Q111"/>
      <c r="R111"/>
      <c r="S111"/>
      <c r="T111"/>
      <c r="U111"/>
      <c r="V111"/>
      <c r="W111"/>
      <c r="X111"/>
      <c r="Y111"/>
      <c r="Z111"/>
      <c r="AA111"/>
      <c r="AB111"/>
    </row>
    <row r="112" spans="1:28">
      <c r="A112"/>
      <c r="B112"/>
      <c r="C112"/>
      <c r="D112"/>
      <c r="E112"/>
      <c r="F112"/>
      <c r="G112"/>
      <c r="H112"/>
      <c r="I112"/>
      <c r="J112"/>
      <c r="K112"/>
      <c r="L112"/>
      <c r="M112"/>
      <c r="N112"/>
      <c r="O112"/>
      <c r="P112"/>
      <c r="Q112"/>
      <c r="R112"/>
      <c r="S112"/>
      <c r="T112"/>
      <c r="U112"/>
      <c r="V112"/>
      <c r="W112"/>
      <c r="X112"/>
      <c r="Y112"/>
      <c r="Z112"/>
      <c r="AA112"/>
      <c r="AB112"/>
    </row>
    <row r="113" spans="1:28">
      <c r="A113"/>
      <c r="B113"/>
      <c r="C113"/>
      <c r="D113"/>
      <c r="E113"/>
      <c r="F113"/>
      <c r="G113"/>
      <c r="H113"/>
      <c r="I113"/>
      <c r="J113"/>
      <c r="K113"/>
      <c r="L113"/>
      <c r="M113"/>
      <c r="N113"/>
      <c r="O113"/>
      <c r="P113"/>
      <c r="Q113"/>
      <c r="R113"/>
      <c r="S113"/>
      <c r="T113"/>
      <c r="U113"/>
      <c r="V113"/>
      <c r="W113"/>
      <c r="X113"/>
      <c r="Y113"/>
      <c r="Z113"/>
      <c r="AA113"/>
      <c r="AB113"/>
    </row>
    <row r="114" spans="1:28">
      <c r="A114"/>
      <c r="B114"/>
      <c r="C114"/>
      <c r="D114"/>
      <c r="E114"/>
      <c r="F114"/>
      <c r="G114"/>
      <c r="H114"/>
      <c r="I114"/>
      <c r="J114"/>
      <c r="K114"/>
      <c r="L114"/>
      <c r="M114"/>
      <c r="N114"/>
      <c r="O114"/>
      <c r="P114"/>
      <c r="Q114"/>
      <c r="R114"/>
      <c r="S114"/>
      <c r="T114"/>
      <c r="U114"/>
      <c r="V114"/>
      <c r="W114"/>
      <c r="X114"/>
      <c r="Y114"/>
      <c r="Z114"/>
      <c r="AA114"/>
      <c r="AB114"/>
    </row>
    <row r="115" spans="1:28">
      <c r="A115"/>
      <c r="B115"/>
      <c r="C115"/>
      <c r="D115"/>
      <c r="E115"/>
      <c r="F115"/>
      <c r="G115"/>
      <c r="H115"/>
      <c r="I115"/>
      <c r="J115"/>
      <c r="K115"/>
      <c r="L115"/>
      <c r="M115"/>
      <c r="N115"/>
      <c r="O115"/>
      <c r="P115"/>
      <c r="Q115"/>
      <c r="R115"/>
      <c r="S115"/>
      <c r="T115"/>
      <c r="U115"/>
      <c r="V115"/>
      <c r="W115"/>
      <c r="X115"/>
      <c r="Y115"/>
      <c r="Z115"/>
      <c r="AA115"/>
      <c r="AB115"/>
    </row>
    <row r="116" spans="1:28">
      <c r="A116"/>
      <c r="B116"/>
      <c r="C116"/>
      <c r="D116"/>
      <c r="E116"/>
      <c r="F116"/>
      <c r="G116"/>
      <c r="H116"/>
      <c r="I116"/>
      <c r="J116"/>
      <c r="K116"/>
      <c r="L116"/>
      <c r="M116"/>
      <c r="N116"/>
      <c r="O116"/>
      <c r="P116"/>
      <c r="Q116"/>
      <c r="R116"/>
      <c r="S116"/>
      <c r="T116"/>
      <c r="U116"/>
      <c r="V116"/>
      <c r="W116"/>
      <c r="X116"/>
      <c r="Y116"/>
      <c r="Z116"/>
      <c r="AA116"/>
      <c r="AB116"/>
    </row>
    <row r="117" spans="1:28">
      <c r="A117"/>
      <c r="B117"/>
      <c r="C117"/>
      <c r="D117"/>
      <c r="E117"/>
      <c r="F117"/>
      <c r="G117"/>
      <c r="H117"/>
      <c r="I117"/>
      <c r="J117"/>
      <c r="K117"/>
      <c r="L117"/>
      <c r="M117"/>
      <c r="N117"/>
      <c r="O117"/>
      <c r="P117"/>
      <c r="Q117"/>
      <c r="R117"/>
      <c r="S117"/>
      <c r="T117"/>
      <c r="U117"/>
      <c r="V117"/>
      <c r="W117"/>
      <c r="X117"/>
      <c r="Y117"/>
      <c r="Z117"/>
      <c r="AA117"/>
      <c r="AB117"/>
    </row>
    <row r="118" spans="1:28">
      <c r="A118"/>
      <c r="B118"/>
      <c r="C118"/>
      <c r="D118"/>
      <c r="E118"/>
      <c r="F118"/>
      <c r="G118"/>
      <c r="H118"/>
      <c r="I118"/>
      <c r="J118"/>
      <c r="K118"/>
      <c r="L118"/>
      <c r="M118"/>
      <c r="N118"/>
      <c r="O118"/>
      <c r="P118"/>
      <c r="Q118"/>
      <c r="R118"/>
      <c r="S118"/>
      <c r="T118"/>
      <c r="U118"/>
      <c r="V118"/>
      <c r="W118"/>
      <c r="X118"/>
      <c r="Y118"/>
      <c r="Z118"/>
      <c r="AA118"/>
      <c r="AB118"/>
    </row>
    <row r="119" spans="1:28">
      <c r="A119"/>
      <c r="B119"/>
      <c r="C119"/>
      <c r="D119"/>
      <c r="E119"/>
      <c r="F119"/>
      <c r="G119"/>
      <c r="H119"/>
      <c r="I119"/>
      <c r="J119"/>
      <c r="K119"/>
      <c r="L119"/>
      <c r="M119"/>
      <c r="N119"/>
      <c r="O119"/>
      <c r="P119"/>
      <c r="Q119"/>
      <c r="R119"/>
      <c r="S119"/>
      <c r="T119"/>
      <c r="U119"/>
      <c r="V119"/>
      <c r="W119"/>
      <c r="X119"/>
      <c r="Y119"/>
      <c r="Z119"/>
      <c r="AA119"/>
      <c r="AB119"/>
    </row>
    <row r="120" spans="1:28">
      <c r="A120"/>
      <c r="B120"/>
      <c r="C120"/>
      <c r="D120"/>
      <c r="E120"/>
      <c r="F120"/>
      <c r="G120"/>
      <c r="H120"/>
      <c r="I120"/>
      <c r="J120"/>
      <c r="K120"/>
      <c r="L120"/>
      <c r="M120"/>
      <c r="N120"/>
      <c r="O120"/>
      <c r="P120"/>
      <c r="Q120"/>
      <c r="R120"/>
      <c r="S120"/>
      <c r="T120"/>
      <c r="U120"/>
      <c r="V120"/>
      <c r="W120"/>
      <c r="X120"/>
      <c r="Y120"/>
      <c r="Z120"/>
      <c r="AA120"/>
      <c r="AB120"/>
    </row>
    <row r="121" spans="1:28">
      <c r="A121"/>
      <c r="B121"/>
      <c r="C121"/>
      <c r="D121"/>
      <c r="E121"/>
      <c r="F121"/>
      <c r="G121"/>
      <c r="H121"/>
      <c r="I121"/>
      <c r="J121"/>
      <c r="K121"/>
      <c r="L121"/>
      <c r="M121"/>
      <c r="N121"/>
      <c r="O121"/>
      <c r="P121"/>
      <c r="Q121"/>
      <c r="R121"/>
      <c r="S121"/>
      <c r="T121"/>
      <c r="U121"/>
      <c r="V121"/>
      <c r="W121"/>
      <c r="X121"/>
      <c r="Y121"/>
      <c r="Z121"/>
      <c r="AA121"/>
      <c r="AB121"/>
    </row>
    <row r="122" spans="1:28">
      <c r="A122"/>
      <c r="B122"/>
      <c r="C122"/>
      <c r="D122"/>
      <c r="E122"/>
      <c r="F122"/>
      <c r="G122"/>
      <c r="H122"/>
      <c r="I122"/>
      <c r="J122"/>
      <c r="K122"/>
      <c r="L122"/>
      <c r="M122"/>
      <c r="N122"/>
      <c r="O122"/>
      <c r="P122"/>
      <c r="Q122"/>
      <c r="R122"/>
      <c r="S122"/>
      <c r="T122"/>
      <c r="U122"/>
      <c r="V122"/>
      <c r="W122"/>
      <c r="X122"/>
      <c r="Y122"/>
      <c r="Z122"/>
      <c r="AA122"/>
      <c r="AB122"/>
    </row>
    <row r="123" spans="1:28">
      <c r="A123"/>
      <c r="B123"/>
      <c r="C123"/>
      <c r="D123"/>
      <c r="E123"/>
      <c r="F123"/>
      <c r="G123"/>
      <c r="H123"/>
      <c r="I123"/>
      <c r="J123"/>
      <c r="K123"/>
      <c r="L123"/>
      <c r="M123"/>
      <c r="N123"/>
      <c r="O123"/>
      <c r="P123"/>
      <c r="Q123"/>
      <c r="R123"/>
      <c r="S123"/>
      <c r="T123"/>
      <c r="U123"/>
      <c r="V123"/>
      <c r="W123"/>
      <c r="X123"/>
      <c r="Y123"/>
      <c r="Z123"/>
      <c r="AA123"/>
      <c r="AB123"/>
    </row>
    <row r="124" spans="1:28">
      <c r="A124"/>
      <c r="B124"/>
      <c r="C124"/>
      <c r="D124"/>
      <c r="E124"/>
      <c r="F124"/>
      <c r="G124"/>
      <c r="H124"/>
      <c r="I124"/>
      <c r="J124"/>
      <c r="K124"/>
      <c r="L124"/>
      <c r="M124"/>
      <c r="N124"/>
      <c r="O124"/>
      <c r="P124"/>
      <c r="Q124"/>
      <c r="R124"/>
      <c r="S124"/>
      <c r="T124"/>
      <c r="U124"/>
      <c r="V124"/>
      <c r="W124"/>
      <c r="X124"/>
      <c r="Y124"/>
      <c r="Z124"/>
      <c r="AA124"/>
      <c r="AB124"/>
    </row>
    <row r="125" spans="1:28">
      <c r="A125"/>
      <c r="B125"/>
      <c r="C125"/>
      <c r="D125"/>
      <c r="E125"/>
      <c r="F125"/>
      <c r="G125"/>
      <c r="H125"/>
      <c r="I125"/>
      <c r="J125"/>
      <c r="K125"/>
      <c r="L125"/>
      <c r="M125"/>
      <c r="N125"/>
      <c r="O125"/>
      <c r="P125"/>
      <c r="Q125"/>
      <c r="R125"/>
      <c r="S125"/>
      <c r="T125"/>
      <c r="U125"/>
      <c r="V125"/>
      <c r="W125"/>
      <c r="X125"/>
      <c r="Y125"/>
      <c r="Z125"/>
      <c r="AA125"/>
      <c r="AB125"/>
    </row>
    <row r="126" spans="1:28">
      <c r="A126"/>
      <c r="B126"/>
      <c r="C126"/>
      <c r="D126"/>
      <c r="E126"/>
      <c r="F126"/>
      <c r="G126"/>
      <c r="H126"/>
      <c r="I126"/>
      <c r="J126"/>
      <c r="K126"/>
      <c r="L126"/>
      <c r="M126"/>
      <c r="N126"/>
      <c r="O126"/>
      <c r="P126"/>
      <c r="Q126"/>
      <c r="R126"/>
      <c r="S126"/>
      <c r="T126"/>
      <c r="U126"/>
      <c r="V126"/>
      <c r="W126"/>
      <c r="X126"/>
      <c r="Y126"/>
      <c r="Z126"/>
      <c r="AA126"/>
      <c r="AB126"/>
    </row>
    <row r="127" spans="1:28">
      <c r="A127"/>
      <c r="B127"/>
      <c r="C127"/>
      <c r="D127"/>
      <c r="E127"/>
      <c r="F127"/>
      <c r="G127"/>
      <c r="H127"/>
      <c r="I127"/>
      <c r="J127"/>
      <c r="K127"/>
      <c r="L127"/>
      <c r="M127"/>
      <c r="N127"/>
      <c r="O127"/>
      <c r="P127"/>
      <c r="Q127"/>
      <c r="R127"/>
      <c r="S127"/>
      <c r="T127"/>
      <c r="U127"/>
      <c r="V127"/>
      <c r="W127"/>
      <c r="X127"/>
      <c r="Y127"/>
      <c r="Z127"/>
      <c r="AA127"/>
      <c r="AB127"/>
    </row>
    <row r="128" spans="1:28">
      <c r="A128"/>
      <c r="B128"/>
      <c r="C128"/>
      <c r="D128"/>
      <c r="E128"/>
      <c r="F128"/>
      <c r="G128"/>
      <c r="H128"/>
      <c r="I128"/>
      <c r="J128"/>
      <c r="K128"/>
      <c r="L128"/>
      <c r="M128"/>
      <c r="N128"/>
      <c r="O128"/>
      <c r="P128"/>
      <c r="Q128"/>
      <c r="R128"/>
      <c r="S128"/>
      <c r="T128"/>
      <c r="U128"/>
      <c r="V128"/>
      <c r="W128"/>
      <c r="X128"/>
      <c r="Y128"/>
      <c r="Z128"/>
      <c r="AA128"/>
      <c r="AB128"/>
    </row>
    <row r="129" spans="1:28">
      <c r="A129"/>
      <c r="B129"/>
      <c r="C129"/>
      <c r="D129"/>
      <c r="E129"/>
      <c r="F129"/>
      <c r="G129"/>
      <c r="H129"/>
      <c r="I129"/>
      <c r="J129"/>
      <c r="K129"/>
      <c r="L129"/>
      <c r="M129"/>
      <c r="N129"/>
      <c r="O129"/>
      <c r="P129"/>
      <c r="Q129"/>
      <c r="R129"/>
      <c r="S129"/>
      <c r="T129"/>
      <c r="U129"/>
      <c r="V129"/>
      <c r="W129"/>
      <c r="X129"/>
      <c r="Y129"/>
      <c r="Z129"/>
      <c r="AA129"/>
      <c r="AB129"/>
    </row>
    <row r="130" spans="1:28">
      <c r="A130"/>
      <c r="B130"/>
      <c r="C130"/>
      <c r="D130"/>
      <c r="E130"/>
      <c r="F130"/>
      <c r="G130"/>
      <c r="H130"/>
      <c r="I130"/>
      <c r="J130"/>
      <c r="K130"/>
      <c r="L130"/>
      <c r="M130"/>
      <c r="N130"/>
      <c r="O130"/>
      <c r="P130"/>
      <c r="Q130"/>
      <c r="R130"/>
      <c r="S130"/>
      <c r="T130"/>
      <c r="U130"/>
      <c r="V130"/>
      <c r="W130"/>
      <c r="X130"/>
      <c r="Y130"/>
      <c r="Z130"/>
      <c r="AA130"/>
      <c r="AB130"/>
    </row>
    <row r="131" spans="1:28">
      <c r="A131"/>
      <c r="B131"/>
      <c r="C131"/>
      <c r="D131"/>
      <c r="E131"/>
      <c r="F131"/>
      <c r="G131"/>
      <c r="H131"/>
      <c r="I131"/>
      <c r="J131"/>
      <c r="K131"/>
      <c r="L131"/>
      <c r="M131"/>
      <c r="N131"/>
      <c r="O131"/>
      <c r="P131"/>
      <c r="Q131"/>
      <c r="R131"/>
      <c r="S131"/>
      <c r="T131"/>
      <c r="U131"/>
      <c r="V131"/>
      <c r="W131"/>
      <c r="X131"/>
      <c r="Y131"/>
      <c r="Z131"/>
      <c r="AA131"/>
      <c r="AB131"/>
    </row>
    <row r="132" spans="1:28">
      <c r="A132"/>
      <c r="B132"/>
      <c r="C132"/>
      <c r="D132"/>
      <c r="E132"/>
      <c r="F132"/>
      <c r="G132"/>
      <c r="H132"/>
      <c r="I132"/>
      <c r="J132"/>
      <c r="K132"/>
      <c r="L132"/>
      <c r="M132"/>
      <c r="N132"/>
      <c r="O132"/>
      <c r="P132"/>
      <c r="Q132"/>
      <c r="R132"/>
      <c r="S132"/>
      <c r="T132"/>
      <c r="U132"/>
      <c r="V132"/>
      <c r="W132"/>
      <c r="X132"/>
      <c r="Y132"/>
      <c r="Z132"/>
      <c r="AA132"/>
      <c r="AB132"/>
    </row>
    <row r="133" spans="1:28">
      <c r="A133"/>
      <c r="B133"/>
      <c r="C133"/>
      <c r="D133"/>
      <c r="E133"/>
      <c r="F133"/>
      <c r="G133"/>
      <c r="H133"/>
      <c r="I133"/>
      <c r="J133"/>
      <c r="K133"/>
      <c r="L133"/>
      <c r="M133"/>
      <c r="N133"/>
      <c r="O133"/>
      <c r="P133"/>
      <c r="Q133"/>
      <c r="R133"/>
      <c r="S133"/>
      <c r="T133"/>
      <c r="U133"/>
      <c r="V133"/>
      <c r="W133"/>
      <c r="X133"/>
      <c r="Y133"/>
      <c r="Z133"/>
      <c r="AA133"/>
      <c r="AB133"/>
    </row>
    <row r="134" spans="1:28">
      <c r="A134"/>
      <c r="B134"/>
      <c r="C134"/>
      <c r="D134"/>
      <c r="E134"/>
      <c r="F134"/>
      <c r="G134"/>
      <c r="H134"/>
      <c r="I134"/>
      <c r="J134"/>
      <c r="K134"/>
      <c r="L134"/>
      <c r="M134"/>
      <c r="N134"/>
      <c r="O134"/>
      <c r="P134"/>
      <c r="Q134"/>
      <c r="R134"/>
      <c r="S134"/>
      <c r="T134"/>
      <c r="U134"/>
      <c r="V134"/>
      <c r="W134"/>
      <c r="X134"/>
      <c r="Y134"/>
      <c r="Z134"/>
      <c r="AA134"/>
      <c r="AB134"/>
    </row>
    <row r="135" spans="1:28">
      <c r="A135"/>
      <c r="B135"/>
      <c r="C135"/>
      <c r="D135"/>
      <c r="E135"/>
      <c r="F135"/>
      <c r="G135"/>
      <c r="H135"/>
      <c r="I135"/>
      <c r="J135"/>
      <c r="K135"/>
      <c r="L135"/>
      <c r="M135"/>
      <c r="N135"/>
      <c r="O135"/>
      <c r="P135"/>
      <c r="Q135"/>
      <c r="R135"/>
      <c r="S135"/>
      <c r="T135"/>
      <c r="U135"/>
      <c r="V135"/>
      <c r="W135"/>
      <c r="X135"/>
      <c r="Y135"/>
      <c r="Z135"/>
      <c r="AA135"/>
      <c r="AB135"/>
    </row>
    <row r="136" spans="1:28">
      <c r="A136"/>
      <c r="B136"/>
      <c r="C136"/>
      <c r="D136"/>
      <c r="E136"/>
      <c r="F136"/>
      <c r="G136"/>
      <c r="H136"/>
      <c r="I136"/>
      <c r="J136"/>
      <c r="K136"/>
      <c r="L136"/>
      <c r="M136"/>
      <c r="N136"/>
    </row>
    <row r="137" spans="1:28">
      <c r="A137"/>
      <c r="B137"/>
      <c r="C137"/>
      <c r="D137"/>
      <c r="E137"/>
      <c r="F137"/>
      <c r="G137"/>
      <c r="H137"/>
      <c r="I137"/>
      <c r="J137"/>
      <c r="K137"/>
      <c r="L137"/>
      <c r="M137"/>
      <c r="N137"/>
    </row>
    <row r="138" spans="1:28">
      <c r="A138"/>
      <c r="B138"/>
      <c r="C138"/>
      <c r="D138"/>
      <c r="E138"/>
      <c r="F138"/>
      <c r="G138"/>
      <c r="H138"/>
      <c r="I138"/>
      <c r="J138"/>
      <c r="K138"/>
      <c r="L138"/>
      <c r="M138"/>
      <c r="N138"/>
    </row>
    <row r="139" spans="1:28">
      <c r="A139"/>
      <c r="B139"/>
      <c r="C139"/>
      <c r="D139"/>
      <c r="E139"/>
      <c r="F139"/>
      <c r="G139"/>
      <c r="H139"/>
      <c r="I139"/>
      <c r="J139"/>
      <c r="K139"/>
      <c r="L139"/>
      <c r="M139"/>
      <c r="N139"/>
    </row>
    <row r="140" spans="1:28">
      <c r="A140"/>
      <c r="B140"/>
      <c r="C140"/>
      <c r="D140"/>
      <c r="E140"/>
      <c r="F140"/>
      <c r="G140"/>
      <c r="H140"/>
      <c r="I140"/>
      <c r="J140"/>
      <c r="K140"/>
      <c r="L140"/>
      <c r="M140"/>
      <c r="N140"/>
    </row>
    <row r="141" spans="1:28">
      <c r="A141"/>
      <c r="B141"/>
      <c r="C141"/>
      <c r="D141"/>
      <c r="E141"/>
      <c r="F141"/>
      <c r="G141"/>
      <c r="H141"/>
      <c r="I141"/>
      <c r="J141"/>
      <c r="K141"/>
      <c r="L141"/>
      <c r="M141"/>
      <c r="N141"/>
    </row>
    <row r="142" spans="1:28">
      <c r="A142"/>
      <c r="B142"/>
      <c r="C142"/>
      <c r="D142"/>
      <c r="E142"/>
      <c r="F142"/>
      <c r="G142"/>
      <c r="H142"/>
      <c r="I142"/>
      <c r="J142"/>
      <c r="K142"/>
      <c r="L142"/>
      <c r="M142"/>
      <c r="N142"/>
    </row>
    <row r="143" spans="1:28">
      <c r="A143"/>
      <c r="B143"/>
      <c r="C143"/>
      <c r="D143"/>
      <c r="E143"/>
      <c r="F143"/>
      <c r="G143"/>
      <c r="H143"/>
      <c r="I143"/>
      <c r="J143"/>
      <c r="K143"/>
      <c r="L143"/>
      <c r="M143"/>
      <c r="N143"/>
    </row>
    <row r="144" spans="1:28">
      <c r="A144"/>
      <c r="B144"/>
      <c r="C144"/>
      <c r="D144"/>
      <c r="E144"/>
      <c r="F144"/>
      <c r="G144"/>
      <c r="H144"/>
      <c r="I144"/>
      <c r="J144"/>
      <c r="K144"/>
      <c r="L144"/>
      <c r="M144"/>
      <c r="N144"/>
    </row>
    <row r="145" spans="1:14">
      <c r="A145"/>
      <c r="B145"/>
      <c r="C145"/>
      <c r="D145"/>
      <c r="E145"/>
      <c r="F145"/>
      <c r="G145"/>
      <c r="H145"/>
      <c r="I145"/>
      <c r="J145"/>
      <c r="K145"/>
      <c r="L145"/>
      <c r="M145"/>
      <c r="N145"/>
    </row>
    <row r="146" spans="1:14">
      <c r="A146"/>
      <c r="B146"/>
      <c r="C146"/>
      <c r="D146"/>
      <c r="E146"/>
      <c r="F146"/>
      <c r="G146"/>
      <c r="H146"/>
      <c r="I146"/>
      <c r="J146"/>
      <c r="K146"/>
      <c r="L146"/>
      <c r="M146"/>
      <c r="N146"/>
    </row>
    <row r="147" spans="1:14">
      <c r="A147"/>
      <c r="B147"/>
      <c r="C147"/>
      <c r="D147"/>
      <c r="E147"/>
      <c r="F147"/>
      <c r="G147"/>
      <c r="H147"/>
      <c r="I147"/>
      <c r="J147"/>
      <c r="K147"/>
      <c r="L147"/>
      <c r="M147"/>
      <c r="N147"/>
    </row>
    <row r="148" spans="1:14">
      <c r="A148"/>
      <c r="B148"/>
      <c r="C148"/>
      <c r="D148"/>
      <c r="E148"/>
      <c r="F148"/>
      <c r="G148"/>
      <c r="H148"/>
      <c r="I148"/>
      <c r="J148"/>
      <c r="K148"/>
      <c r="L148"/>
      <c r="M148"/>
      <c r="N148"/>
    </row>
    <row r="149" spans="1:14">
      <c r="A149"/>
      <c r="B149"/>
      <c r="C149"/>
      <c r="D149"/>
      <c r="E149"/>
      <c r="F149"/>
      <c r="G149"/>
      <c r="H149"/>
      <c r="I149"/>
      <c r="J149"/>
      <c r="K149"/>
      <c r="L149"/>
      <c r="M149"/>
      <c r="N149"/>
    </row>
    <row r="150" spans="1:14">
      <c r="A150"/>
      <c r="B150"/>
      <c r="C150"/>
      <c r="D150"/>
      <c r="E150"/>
      <c r="F150"/>
      <c r="G150"/>
      <c r="H150"/>
      <c r="I150"/>
      <c r="J150"/>
      <c r="K150"/>
      <c r="L150"/>
      <c r="M150"/>
      <c r="N150"/>
    </row>
    <row r="151" spans="1:14">
      <c r="A151"/>
      <c r="B151"/>
      <c r="C151"/>
      <c r="D151"/>
      <c r="E151"/>
      <c r="F151"/>
      <c r="G151"/>
      <c r="H151"/>
      <c r="I151"/>
      <c r="J151"/>
      <c r="K151"/>
      <c r="L151"/>
      <c r="M151"/>
      <c r="N151"/>
    </row>
    <row r="152" spans="1:14">
      <c r="A152"/>
      <c r="B152"/>
      <c r="C152"/>
      <c r="D152"/>
      <c r="E152"/>
      <c r="F152"/>
      <c r="G152"/>
      <c r="H152"/>
      <c r="I152"/>
    </row>
    <row r="153" spans="1:14">
      <c r="A153"/>
      <c r="B153"/>
      <c r="C153"/>
      <c r="D153"/>
      <c r="E153"/>
      <c r="F153"/>
      <c r="G153"/>
      <c r="H153"/>
      <c r="I153"/>
    </row>
    <row r="154" spans="1:14">
      <c r="A154"/>
      <c r="B154"/>
      <c r="C154"/>
      <c r="D154"/>
      <c r="E154"/>
      <c r="F154"/>
      <c r="G154"/>
      <c r="H154"/>
      <c r="I154"/>
    </row>
    <row r="155" spans="1:14">
      <c r="A155"/>
      <c r="B155"/>
      <c r="C155"/>
      <c r="D155"/>
      <c r="E155"/>
      <c r="F155"/>
      <c r="G155"/>
      <c r="H155"/>
      <c r="I155"/>
    </row>
    <row r="156" spans="1:14">
      <c r="A156"/>
      <c r="B156"/>
      <c r="C156"/>
      <c r="D156"/>
      <c r="E156"/>
      <c r="F156"/>
      <c r="G156"/>
      <c r="H156"/>
      <c r="I156"/>
    </row>
    <row r="157" spans="1:14">
      <c r="A157"/>
      <c r="B157"/>
      <c r="C157"/>
      <c r="D157"/>
      <c r="E157"/>
      <c r="F157"/>
      <c r="G157"/>
      <c r="H157"/>
      <c r="I157"/>
    </row>
    <row r="158" spans="1:14">
      <c r="A158"/>
      <c r="B158"/>
      <c r="C158"/>
      <c r="D158"/>
      <c r="E158"/>
      <c r="F158"/>
      <c r="G158"/>
      <c r="H158"/>
      <c r="I158"/>
    </row>
    <row r="159" spans="1:14">
      <c r="A159"/>
      <c r="B159"/>
      <c r="C159"/>
      <c r="D159"/>
      <c r="E159"/>
      <c r="F159"/>
      <c r="G159"/>
      <c r="H159"/>
      <c r="I159"/>
    </row>
    <row r="160" spans="1:14">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sheetData>
  <mergeCells count="5">
    <mergeCell ref="H5:L5"/>
    <mergeCell ref="B6:C6"/>
    <mergeCell ref="H6:H7"/>
    <mergeCell ref="I6:I7"/>
    <mergeCell ref="J6:J7"/>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D2214-D9C5-4C57-8891-46C3C4356193}">
  <dimension ref="A1:N50"/>
  <sheetViews>
    <sheetView topLeftCell="A8" workbookViewId="0"/>
  </sheetViews>
  <sheetFormatPr defaultColWidth="8.88671875" defaultRowHeight="13.8"/>
  <cols>
    <col min="1" max="3" width="8.88671875" style="57"/>
    <col min="4" max="4" width="12.5546875" style="57" customWidth="1"/>
    <col min="5" max="5" width="12.33203125" style="57" customWidth="1"/>
    <col min="6" max="6" width="11.6640625" style="57" customWidth="1"/>
    <col min="7" max="8" width="11.5546875" style="57" bestFit="1" customWidth="1"/>
    <col min="9" max="16384" width="8.88671875" style="57"/>
  </cols>
  <sheetData>
    <row r="1" spans="1:14" ht="18">
      <c r="A1" s="23" t="s">
        <v>707</v>
      </c>
      <c r="B1" s="23"/>
      <c r="C1" s="342" t="s">
        <v>38</v>
      </c>
      <c r="D1" s="22"/>
      <c r="E1" s="22"/>
      <c r="F1" s="22"/>
      <c r="G1" s="22"/>
      <c r="H1" s="22"/>
      <c r="I1" s="22"/>
      <c r="J1" s="22"/>
      <c r="K1" s="22"/>
      <c r="L1" s="22"/>
      <c r="M1" s="22"/>
      <c r="N1" s="1150"/>
    </row>
    <row r="2" spans="1:14" ht="15.6">
      <c r="A2" s="8"/>
      <c r="B2" s="8"/>
      <c r="C2" s="8"/>
      <c r="D2" s="8"/>
      <c r="E2" s="8"/>
      <c r="F2" s="8"/>
      <c r="G2" s="8"/>
      <c r="H2" s="8"/>
      <c r="I2" s="8"/>
      <c r="J2" s="8"/>
      <c r="K2" s="8"/>
      <c r="L2" s="8"/>
      <c r="M2" s="8"/>
      <c r="N2" s="1150"/>
    </row>
    <row r="3" spans="1:14" ht="15.6" customHeight="1">
      <c r="A3" s="1888" t="s">
        <v>1816</v>
      </c>
      <c r="B3" s="1888"/>
      <c r="C3" s="1888"/>
      <c r="D3" s="1888"/>
      <c r="E3" s="1888"/>
      <c r="F3" s="1888"/>
      <c r="G3" s="1888"/>
      <c r="H3" s="1888"/>
      <c r="I3" s="1888"/>
      <c r="J3" s="1888"/>
      <c r="K3" s="1888"/>
      <c r="L3" s="1888"/>
      <c r="M3" s="1888"/>
      <c r="N3" s="1155"/>
    </row>
    <row r="4" spans="1:14" ht="15.6" customHeight="1">
      <c r="A4" s="1888"/>
      <c r="B4" s="1888"/>
      <c r="C4" s="1888"/>
      <c r="D4" s="1888"/>
      <c r="E4" s="1888"/>
      <c r="F4" s="1888"/>
      <c r="G4" s="1888"/>
      <c r="H4" s="1888"/>
      <c r="I4" s="1888"/>
      <c r="J4" s="1888"/>
      <c r="K4" s="1888"/>
      <c r="L4" s="1888"/>
      <c r="M4" s="1888"/>
      <c r="N4" s="1155"/>
    </row>
    <row r="5" spans="1:14">
      <c r="A5" s="423"/>
      <c r="B5" s="423"/>
      <c r="C5" s="423"/>
      <c r="D5" s="423"/>
      <c r="E5" s="423"/>
      <c r="F5" s="423"/>
      <c r="G5" s="423"/>
      <c r="H5" s="423"/>
      <c r="I5" s="423"/>
      <c r="J5" s="423"/>
      <c r="K5" s="423"/>
      <c r="L5" s="423"/>
      <c r="M5" s="423"/>
      <c r="N5" s="1150"/>
    </row>
    <row r="6" spans="1:14" ht="15.6" customHeight="1">
      <c r="A6" s="1153" t="s">
        <v>1815</v>
      </c>
      <c r="B6" s="1152"/>
      <c r="C6" s="1152"/>
      <c r="D6" s="1151"/>
      <c r="E6" s="370">
        <v>31.5</v>
      </c>
      <c r="F6" s="8" t="s">
        <v>1813</v>
      </c>
      <c r="G6" s="423"/>
      <c r="H6" s="423"/>
      <c r="I6" s="423"/>
      <c r="J6" s="423"/>
      <c r="K6" s="423"/>
      <c r="L6" s="423"/>
      <c r="M6" s="423"/>
      <c r="N6" s="1150"/>
    </row>
    <row r="7" spans="1:14" ht="15.6" customHeight="1">
      <c r="A7" s="1153" t="s">
        <v>1814</v>
      </c>
      <c r="B7" s="1152"/>
      <c r="C7" s="1152"/>
      <c r="D7" s="1151"/>
      <c r="E7" s="370">
        <v>140</v>
      </c>
      <c r="F7" s="8" t="s">
        <v>1813</v>
      </c>
      <c r="G7" s="423"/>
      <c r="H7" s="423"/>
      <c r="I7" s="423"/>
      <c r="J7" s="423"/>
      <c r="K7" s="423"/>
      <c r="L7" s="423"/>
      <c r="M7" s="423"/>
      <c r="N7" s="1150"/>
    </row>
    <row r="8" spans="1:14" ht="15.6" customHeight="1">
      <c r="A8" s="1153" t="s">
        <v>1812</v>
      </c>
      <c r="B8" s="1152"/>
      <c r="C8" s="1152"/>
      <c r="D8" s="1151"/>
      <c r="E8" s="1154">
        <v>0.875</v>
      </c>
      <c r="F8" s="8"/>
      <c r="G8" s="423"/>
      <c r="H8" s="423"/>
      <c r="I8" s="423"/>
      <c r="J8" s="423"/>
      <c r="K8" s="423"/>
      <c r="L8" s="423"/>
      <c r="M8" s="423"/>
      <c r="N8" s="1150"/>
    </row>
    <row r="9" spans="1:14" ht="15.6" customHeight="1">
      <c r="A9" s="1153" t="s">
        <v>1728</v>
      </c>
      <c r="B9" s="1152"/>
      <c r="C9" s="1152"/>
      <c r="D9" s="1151"/>
      <c r="E9" s="370">
        <v>1.19</v>
      </c>
      <c r="F9" s="8"/>
      <c r="G9" s="423"/>
      <c r="H9" s="423"/>
      <c r="I9" s="423"/>
      <c r="J9" s="423"/>
      <c r="K9" s="423"/>
      <c r="L9" s="423"/>
      <c r="M9" s="423"/>
      <c r="N9" s="1150"/>
    </row>
    <row r="10" spans="1:14" ht="15.6" customHeight="1">
      <c r="A10" s="1153" t="s">
        <v>1727</v>
      </c>
      <c r="B10" s="1152"/>
      <c r="C10" s="1152"/>
      <c r="D10" s="1151"/>
      <c r="E10" s="370">
        <v>1.02</v>
      </c>
      <c r="F10" s="8"/>
      <c r="G10" s="423"/>
      <c r="H10" s="423"/>
      <c r="I10" s="423"/>
      <c r="J10" s="423"/>
      <c r="K10" s="423"/>
      <c r="L10" s="423"/>
      <c r="M10" s="423"/>
      <c r="N10" s="1150"/>
    </row>
    <row r="11" spans="1:14" ht="15.6" customHeight="1">
      <c r="A11" s="423"/>
      <c r="B11" s="423"/>
      <c r="C11" s="423"/>
      <c r="D11" s="423"/>
      <c r="E11" s="423"/>
      <c r="F11" s="423"/>
      <c r="G11" s="423"/>
      <c r="H11" s="423"/>
      <c r="I11" s="423"/>
      <c r="J11" s="423"/>
      <c r="K11" s="423"/>
      <c r="L11" s="423"/>
      <c r="M11" s="423"/>
      <c r="N11" s="1150"/>
    </row>
    <row r="12" spans="1:14" ht="64.95" customHeight="1">
      <c r="A12" s="1889" t="s">
        <v>1811</v>
      </c>
      <c r="B12" s="1889"/>
      <c r="C12" s="1889"/>
      <c r="D12" s="1889" t="s">
        <v>1810</v>
      </c>
      <c r="E12" s="1889"/>
      <c r="F12" s="1889"/>
      <c r="G12" s="1889" t="s">
        <v>1809</v>
      </c>
      <c r="H12" s="1889"/>
      <c r="I12" s="1889"/>
      <c r="J12" s="1890" t="s">
        <v>1808</v>
      </c>
      <c r="K12" s="1890"/>
      <c r="L12" s="1890"/>
      <c r="M12" s="423"/>
      <c r="N12" s="1150"/>
    </row>
    <row r="13" spans="1:14" ht="15.6" customHeight="1">
      <c r="A13" s="1881" t="s">
        <v>1611</v>
      </c>
      <c r="B13" s="1882"/>
      <c r="C13" s="1883"/>
      <c r="D13" s="1884">
        <v>0.82299999999999995</v>
      </c>
      <c r="E13" s="1882"/>
      <c r="F13" s="1883"/>
      <c r="G13" s="1885">
        <v>2.1000000000000001E-2</v>
      </c>
      <c r="H13" s="1886"/>
      <c r="I13" s="1887"/>
      <c r="J13" s="1885">
        <v>0.03</v>
      </c>
      <c r="K13" s="1886"/>
      <c r="L13" s="1887"/>
      <c r="M13" s="423"/>
      <c r="N13" s="1150"/>
    </row>
    <row r="14" spans="1:14" ht="15.6" customHeight="1">
      <c r="A14" s="1881" t="s">
        <v>1610</v>
      </c>
      <c r="B14" s="1882"/>
      <c r="C14" s="1883"/>
      <c r="D14" s="1884">
        <v>0.91100000000000003</v>
      </c>
      <c r="E14" s="1882"/>
      <c r="F14" s="1883"/>
      <c r="G14" s="1885">
        <v>2.5999999999999999E-2</v>
      </c>
      <c r="H14" s="1886"/>
      <c r="I14" s="1887"/>
      <c r="J14" s="1885">
        <v>4.5999999999999999E-2</v>
      </c>
      <c r="K14" s="1886"/>
      <c r="L14" s="1887"/>
      <c r="M14" s="423"/>
      <c r="N14" s="1150"/>
    </row>
    <row r="15" spans="1:14" ht="15.6" customHeight="1">
      <c r="A15" s="1881" t="s">
        <v>1609</v>
      </c>
      <c r="B15" s="1882"/>
      <c r="C15" s="1883"/>
      <c r="D15" s="1884">
        <v>0.97799999999999998</v>
      </c>
      <c r="E15" s="1882"/>
      <c r="F15" s="1883"/>
      <c r="G15" s="1885">
        <v>0.03</v>
      </c>
      <c r="H15" s="1886"/>
      <c r="I15" s="1887"/>
      <c r="J15" s="1885">
        <v>7.4999999999999997E-2</v>
      </c>
      <c r="K15" s="1886"/>
      <c r="L15" s="1887"/>
      <c r="M15" s="423"/>
      <c r="N15" s="1150"/>
    </row>
    <row r="16" spans="1:14" ht="15.6" customHeight="1">
      <c r="A16" s="1881" t="s">
        <v>1644</v>
      </c>
      <c r="B16" s="1882"/>
      <c r="C16" s="1883"/>
      <c r="D16" s="1884">
        <v>1</v>
      </c>
      <c r="E16" s="1891"/>
      <c r="F16" s="1892"/>
      <c r="G16" s="1885">
        <v>3.2000000000000001E-2</v>
      </c>
      <c r="H16" s="1886"/>
      <c r="I16" s="1887"/>
      <c r="J16" s="1885">
        <v>0.09</v>
      </c>
      <c r="K16" s="1886"/>
      <c r="L16" s="1887"/>
      <c r="M16" s="423"/>
      <c r="N16" s="1150"/>
    </row>
    <row r="17" spans="1:14">
      <c r="A17" s="423"/>
      <c r="B17" s="423"/>
      <c r="C17" s="423"/>
      <c r="D17" s="423"/>
      <c r="E17" s="423"/>
      <c r="F17" s="423"/>
      <c r="G17" s="423"/>
      <c r="H17" s="423"/>
      <c r="I17" s="423"/>
      <c r="J17" s="423"/>
      <c r="K17" s="423"/>
      <c r="L17" s="423"/>
      <c r="M17" s="423"/>
      <c r="N17" s="1150"/>
    </row>
    <row r="18" spans="1:14">
      <c r="A18" s="423"/>
      <c r="B18" s="423"/>
      <c r="C18" s="423"/>
      <c r="D18" s="423"/>
      <c r="E18" s="423"/>
      <c r="F18" s="423"/>
      <c r="G18" s="423"/>
      <c r="H18" s="423"/>
      <c r="I18" s="423"/>
      <c r="J18" s="423"/>
      <c r="K18" s="423"/>
      <c r="L18" s="423"/>
      <c r="M18" s="423"/>
      <c r="N18" s="1150"/>
    </row>
    <row r="19" spans="1:14" s="1028" customFormat="1" ht="33.6" customHeight="1">
      <c r="A19" s="1149" t="s">
        <v>80</v>
      </c>
      <c r="B19" s="1741" t="s">
        <v>1807</v>
      </c>
      <c r="C19" s="1741"/>
      <c r="D19" s="1741"/>
      <c r="E19" s="1741"/>
      <c r="F19" s="1741"/>
      <c r="G19" s="1741"/>
      <c r="H19" s="1741"/>
      <c r="I19" s="1741"/>
      <c r="J19" s="1741"/>
      <c r="K19" s="1741"/>
      <c r="L19" s="1741"/>
      <c r="M19" s="1741"/>
      <c r="N19" s="1148"/>
    </row>
    <row r="20" spans="1:14" s="1143" customFormat="1" ht="15.6" customHeight="1">
      <c r="A20" s="789"/>
      <c r="B20" s="1832" t="s">
        <v>64</v>
      </c>
      <c r="C20" s="1832"/>
      <c r="D20" s="1832"/>
      <c r="E20" s="1832"/>
      <c r="F20" s="1832"/>
      <c r="G20" s="1832"/>
      <c r="H20" s="1832"/>
      <c r="I20" s="1832"/>
      <c r="J20" s="1832"/>
      <c r="K20" s="1832"/>
      <c r="L20" s="1832"/>
      <c r="M20" s="1832"/>
      <c r="N20" s="1147"/>
    </row>
    <row r="21" spans="1:14" s="1143" customFormat="1" ht="13.95" customHeight="1">
      <c r="B21" s="1145"/>
      <c r="C21" s="1146"/>
      <c r="D21" s="1145"/>
      <c r="E21" s="1144"/>
      <c r="F21" s="1144"/>
      <c r="G21" s="1144"/>
      <c r="H21" s="1144"/>
      <c r="I21" s="1144"/>
    </row>
    <row r="22" spans="1:14" ht="55.2">
      <c r="C22" s="1142" t="s">
        <v>1806</v>
      </c>
      <c r="D22" s="1140" t="s">
        <v>1716</v>
      </c>
      <c r="E22" s="1140" t="s">
        <v>1805</v>
      </c>
      <c r="F22" s="1139" t="s">
        <v>1804</v>
      </c>
      <c r="G22" s="1139" t="s">
        <v>1724</v>
      </c>
      <c r="H22" s="1142" t="s">
        <v>1803</v>
      </c>
      <c r="I22" s="1142" t="s">
        <v>1572</v>
      </c>
    </row>
    <row r="23" spans="1:14">
      <c r="C23" s="1141"/>
      <c r="D23" s="1140"/>
      <c r="E23" s="1140"/>
      <c r="F23" s="1139"/>
      <c r="G23" s="1139"/>
      <c r="H23" s="1137"/>
      <c r="I23" s="1137"/>
    </row>
    <row r="24" spans="1:14">
      <c r="C24" s="1138">
        <f>D13</f>
        <v>0.82299999999999995</v>
      </c>
      <c r="D24" s="1137">
        <f>C24-C23</f>
        <v>0.82299999999999995</v>
      </c>
      <c r="E24" s="1137">
        <f>$E$8*C24</f>
        <v>0.7201249999999999</v>
      </c>
      <c r="F24" s="1136">
        <f>100%-G13-J13</f>
        <v>0.94899999999999995</v>
      </c>
      <c r="G24" s="1136">
        <f>(F24*E24-F23*E23)/(E24-E23)</f>
        <v>0.94900000000000007</v>
      </c>
      <c r="H24" s="1135">
        <f>($E$6/$E$7)*$E$10/($E$8*D13)+$E$10*$E$9*G24</f>
        <v>1.4705908710640516</v>
      </c>
      <c r="I24" s="1135">
        <f>SUMPRODUCT(D24:D$27,H24:H$27)/SUM(D24:D$27)</f>
        <v>1.3280021142857146</v>
      </c>
    </row>
    <row r="25" spans="1:14">
      <c r="C25" s="1138">
        <f>D14</f>
        <v>0.91100000000000003</v>
      </c>
      <c r="D25" s="1137">
        <f>C25-C24</f>
        <v>8.8000000000000078E-2</v>
      </c>
      <c r="E25" s="1137">
        <f>$E$8*C25</f>
        <v>0.79712500000000008</v>
      </c>
      <c r="F25" s="1136">
        <f>100%-G14-J14</f>
        <v>0.92799999999999994</v>
      </c>
      <c r="G25" s="1136">
        <f>(F25*E25-F24*E24)/(E25-E24)</f>
        <v>0.73160227272727274</v>
      </c>
      <c r="H25" s="1135">
        <f>$E$10*$E$9*G25</f>
        <v>0.88801883863636366</v>
      </c>
      <c r="I25" s="1135">
        <f>SUMPRODUCT(D25:D$27,H25:H$27)/SUM(D25:D$27)</f>
        <v>0.66500467457627099</v>
      </c>
    </row>
    <row r="26" spans="1:14">
      <c r="C26" s="1138">
        <f>D15</f>
        <v>0.97799999999999998</v>
      </c>
      <c r="D26" s="1137">
        <f>C26-C25</f>
        <v>6.6999999999999948E-2</v>
      </c>
      <c r="E26" s="1137">
        <f>$E$8*C26</f>
        <v>0.85575000000000001</v>
      </c>
      <c r="F26" s="1136">
        <f>100%-G15-J15</f>
        <v>0.89500000000000002</v>
      </c>
      <c r="G26" s="1136">
        <f>(F26*E26-F25*E25)/(E26-E25)</f>
        <v>0.44629850746268712</v>
      </c>
      <c r="H26" s="1135">
        <f>$E$10*$E$9*G26</f>
        <v>0.54171712835820962</v>
      </c>
      <c r="I26" s="1135">
        <f>SUMPRODUCT(D26:D$27,H26:H$27)/SUM(D26:D$27)</f>
        <v>0.4444962876404488</v>
      </c>
    </row>
    <row r="27" spans="1:14">
      <c r="C27" s="1138">
        <f>D16</f>
        <v>1</v>
      </c>
      <c r="D27" s="1137">
        <f>C27-C26</f>
        <v>2.200000000000002E-2</v>
      </c>
      <c r="E27" s="1137">
        <f>$E$8*C27</f>
        <v>0.875</v>
      </c>
      <c r="F27" s="1136">
        <f>100%-G16-J16</f>
        <v>0.878</v>
      </c>
      <c r="G27" s="1136">
        <f>(F27*E27-F26*E26)/(E27-E26)</f>
        <v>0.12227272727272383</v>
      </c>
      <c r="H27" s="1135">
        <f>$E$10*$E$9*G27</f>
        <v>0.14841463636363217</v>
      </c>
      <c r="I27" s="1135">
        <f>SUMPRODUCT(D27:D$27,H27:H$27)/SUM(D27:D$27)</f>
        <v>0.14841463636363217</v>
      </c>
    </row>
    <row r="28" spans="1:14">
      <c r="D28" s="1134"/>
      <c r="E28" s="1133"/>
    </row>
    <row r="29" spans="1:14" ht="15.6" customHeight="1">
      <c r="A29" s="1131" t="s">
        <v>9</v>
      </c>
      <c r="B29" s="1893" t="s">
        <v>1802</v>
      </c>
      <c r="C29" s="1893"/>
      <c r="D29" s="1893"/>
      <c r="E29" s="1893"/>
      <c r="F29" s="1893"/>
      <c r="G29" s="1893"/>
      <c r="H29" s="1893"/>
      <c r="I29" s="1893"/>
      <c r="J29" s="1893"/>
      <c r="K29" s="1893"/>
      <c r="L29" s="1893"/>
      <c r="M29" s="1893"/>
      <c r="N29" s="1130"/>
    </row>
    <row r="30" spans="1:14" ht="15.6" customHeight="1">
      <c r="A30" s="789"/>
      <c r="B30" s="1832" t="s">
        <v>64</v>
      </c>
      <c r="C30" s="1832"/>
      <c r="D30" s="1832"/>
      <c r="E30" s="1832"/>
      <c r="F30" s="1832"/>
      <c r="G30" s="1832"/>
      <c r="H30" s="1832"/>
      <c r="I30" s="1832"/>
      <c r="J30" s="1832"/>
      <c r="K30" s="1832"/>
      <c r="L30" s="1832"/>
      <c r="M30" s="1832"/>
      <c r="N30" s="1130"/>
    </row>
    <row r="31" spans="1:14" ht="15.6">
      <c r="A31" s="1"/>
      <c r="B31" s="1"/>
      <c r="C31" s="1"/>
      <c r="D31" s="1"/>
      <c r="E31" s="1"/>
      <c r="F31" s="1"/>
      <c r="G31" s="1"/>
      <c r="H31" s="1"/>
      <c r="I31" s="1"/>
      <c r="J31" s="1"/>
      <c r="K31" s="1"/>
      <c r="L31" s="1"/>
      <c r="M31" s="1"/>
    </row>
    <row r="32" spans="1:14" ht="15.6">
      <c r="A32" s="1"/>
      <c r="B32" s="1" t="s">
        <v>1801</v>
      </c>
      <c r="C32" s="1"/>
      <c r="D32" s="1"/>
      <c r="E32" s="1"/>
      <c r="F32" s="1"/>
      <c r="G32" s="1"/>
      <c r="H32" s="1"/>
      <c r="I32" s="1"/>
      <c r="J32" s="1"/>
      <c r="K32" s="1"/>
      <c r="L32" s="1"/>
      <c r="M32" s="1"/>
    </row>
    <row r="33" spans="1:14" ht="15.6">
      <c r="A33" s="1"/>
      <c r="B33" s="1" t="s">
        <v>1800</v>
      </c>
      <c r="C33" s="1"/>
      <c r="D33" s="1"/>
      <c r="E33" s="1"/>
      <c r="F33" s="1"/>
      <c r="G33" s="1"/>
      <c r="H33" s="1"/>
      <c r="I33" s="1"/>
      <c r="J33" s="1"/>
      <c r="K33" s="1"/>
      <c r="L33" s="1"/>
      <c r="M33" s="1"/>
    </row>
    <row r="34" spans="1:14" ht="15.6">
      <c r="A34" s="1"/>
      <c r="B34" s="374" t="s">
        <v>1799</v>
      </c>
      <c r="C34" s="1"/>
      <c r="D34" s="1"/>
      <c r="E34" s="1"/>
      <c r="F34" s="1"/>
      <c r="G34" s="1"/>
      <c r="H34" s="1"/>
      <c r="I34" s="1"/>
      <c r="J34" s="1"/>
      <c r="K34" s="1"/>
      <c r="L34" s="1"/>
      <c r="M34" s="1"/>
    </row>
    <row r="35" spans="1:14" ht="15.6">
      <c r="A35" s="1"/>
      <c r="B35" s="1"/>
      <c r="C35" s="1"/>
      <c r="D35" s="1"/>
      <c r="E35" s="1"/>
      <c r="F35" s="1"/>
      <c r="G35" s="1"/>
      <c r="H35" s="1"/>
      <c r="I35" s="1"/>
      <c r="J35" s="1"/>
      <c r="K35" s="1"/>
      <c r="L35" s="1"/>
      <c r="M35" s="1"/>
    </row>
    <row r="36" spans="1:14" ht="15.6" customHeight="1">
      <c r="A36" s="1131" t="s">
        <v>7</v>
      </c>
      <c r="B36" s="1888" t="s">
        <v>1798</v>
      </c>
      <c r="C36" s="1888"/>
      <c r="D36" s="1888"/>
      <c r="E36" s="1888"/>
      <c r="F36" s="1888"/>
      <c r="G36" s="1888"/>
      <c r="H36" s="1888"/>
      <c r="I36" s="1888"/>
      <c r="J36" s="1888"/>
      <c r="K36" s="1888"/>
      <c r="L36" s="1888"/>
      <c r="M36" s="1888"/>
      <c r="N36" s="1130"/>
    </row>
    <row r="37" spans="1:14" ht="15.6" customHeight="1">
      <c r="A37" s="789"/>
      <c r="B37" s="1832" t="s">
        <v>64</v>
      </c>
      <c r="C37" s="1832"/>
      <c r="D37" s="1832"/>
      <c r="E37" s="1832"/>
      <c r="F37" s="1832"/>
      <c r="G37" s="1832"/>
      <c r="H37" s="1832"/>
      <c r="I37" s="1832"/>
      <c r="J37" s="1832"/>
      <c r="K37" s="1832"/>
      <c r="L37" s="1832"/>
      <c r="M37" s="1832"/>
    </row>
    <row r="38" spans="1:14" ht="15.6">
      <c r="A38" s="1"/>
      <c r="B38" s="1"/>
      <c r="C38" s="1"/>
      <c r="D38" s="1"/>
      <c r="E38" s="1"/>
      <c r="F38" s="1"/>
      <c r="G38" s="1"/>
      <c r="H38" s="1"/>
      <c r="I38" s="1"/>
      <c r="J38" s="1"/>
      <c r="K38" s="1"/>
      <c r="L38" s="1"/>
      <c r="M38" s="1"/>
    </row>
    <row r="39" spans="1:14" ht="15.6">
      <c r="A39" s="1"/>
      <c r="B39" s="1132" t="s">
        <v>1797</v>
      </c>
      <c r="C39" s="1"/>
      <c r="D39" s="1"/>
      <c r="E39" s="1"/>
      <c r="F39" s="1"/>
      <c r="G39" s="1"/>
      <c r="H39" s="1"/>
      <c r="I39" s="1"/>
      <c r="J39" s="1"/>
      <c r="K39" s="1"/>
      <c r="L39" s="1"/>
      <c r="M39" s="1"/>
    </row>
    <row r="40" spans="1:14" ht="15.6">
      <c r="A40" s="1"/>
      <c r="B40" s="1132" t="s">
        <v>1796</v>
      </c>
      <c r="C40" s="1"/>
      <c r="D40" s="1"/>
      <c r="E40" s="1"/>
      <c r="F40" s="1"/>
      <c r="G40" s="1"/>
      <c r="H40" s="1"/>
      <c r="I40" s="1"/>
      <c r="J40" s="1"/>
      <c r="K40" s="1"/>
      <c r="L40" s="1"/>
      <c r="M40" s="1"/>
    </row>
    <row r="41" spans="1:14" ht="15.6">
      <c r="A41" s="1"/>
      <c r="B41" s="1"/>
      <c r="C41" s="1"/>
      <c r="D41" s="1"/>
      <c r="E41" s="1"/>
      <c r="F41" s="1"/>
      <c r="G41" s="1"/>
      <c r="H41" s="1"/>
      <c r="I41" s="1"/>
      <c r="J41" s="1"/>
      <c r="K41" s="1"/>
      <c r="L41" s="1"/>
      <c r="M41" s="1"/>
    </row>
    <row r="42" spans="1:14" ht="15.6" customHeight="1">
      <c r="A42" s="1131" t="s">
        <v>4</v>
      </c>
      <c r="B42" s="1888" t="s">
        <v>1795</v>
      </c>
      <c r="C42" s="1888"/>
      <c r="D42" s="1888"/>
      <c r="E42" s="1888"/>
      <c r="F42" s="1888"/>
      <c r="G42" s="1888"/>
      <c r="H42" s="1888"/>
      <c r="I42" s="1888"/>
      <c r="J42" s="1888"/>
      <c r="K42" s="1888"/>
      <c r="L42" s="1888"/>
      <c r="M42" s="1888"/>
      <c r="N42" s="1130"/>
    </row>
    <row r="43" spans="1:14" ht="15.6" customHeight="1">
      <c r="A43" s="789"/>
      <c r="B43" s="1832" t="s">
        <v>64</v>
      </c>
      <c r="C43" s="1832"/>
      <c r="D43" s="1832"/>
      <c r="E43" s="1832"/>
      <c r="F43" s="1832"/>
      <c r="G43" s="1832"/>
      <c r="H43" s="1832"/>
      <c r="I43" s="1832"/>
      <c r="J43" s="1832"/>
      <c r="K43" s="1832"/>
      <c r="L43" s="1832"/>
      <c r="M43" s="1832"/>
    </row>
    <row r="44" spans="1:14" ht="15.6">
      <c r="A44" s="1"/>
      <c r="B44" s="1"/>
      <c r="C44" s="1"/>
      <c r="D44" s="1"/>
      <c r="E44" s="1"/>
      <c r="F44" s="1"/>
      <c r="G44" s="1"/>
      <c r="H44" s="1"/>
      <c r="I44" s="1"/>
      <c r="J44" s="1"/>
      <c r="K44" s="1"/>
      <c r="L44" s="1"/>
      <c r="M44" s="1"/>
    </row>
    <row r="45" spans="1:14" ht="15.6">
      <c r="A45" s="1"/>
      <c r="B45" s="374" t="s">
        <v>1794</v>
      </c>
      <c r="C45" s="1"/>
      <c r="D45" s="1"/>
      <c r="E45" s="1"/>
      <c r="F45" s="1"/>
      <c r="G45" s="1"/>
      <c r="H45" s="1"/>
      <c r="I45" s="1"/>
      <c r="J45" s="1"/>
      <c r="K45" s="1"/>
      <c r="L45" s="1"/>
      <c r="M45" s="1"/>
    </row>
    <row r="46" spans="1:14" ht="15.6">
      <c r="A46" s="1"/>
      <c r="B46" s="1"/>
      <c r="C46" s="1"/>
      <c r="D46" s="1"/>
      <c r="E46" s="1"/>
      <c r="F46" s="1"/>
      <c r="G46" s="1"/>
      <c r="H46" s="1"/>
      <c r="I46" s="1"/>
      <c r="J46" s="1"/>
      <c r="K46" s="1"/>
      <c r="L46" s="1"/>
      <c r="M46" s="1"/>
    </row>
    <row r="47" spans="1:14" ht="15.6">
      <c r="A47" s="1"/>
      <c r="B47" s="1"/>
      <c r="C47" s="1"/>
      <c r="D47" s="1"/>
      <c r="E47" s="1"/>
      <c r="F47" s="1"/>
      <c r="G47" s="1"/>
      <c r="H47" s="1"/>
      <c r="I47" s="1"/>
      <c r="J47" s="1"/>
      <c r="K47" s="1"/>
      <c r="L47" s="1"/>
      <c r="M47" s="1"/>
    </row>
    <row r="48" spans="1:14" ht="15.6">
      <c r="A48" s="1"/>
      <c r="B48" s="1"/>
      <c r="C48" s="1"/>
      <c r="D48" s="1"/>
      <c r="E48" s="1"/>
      <c r="F48" s="1"/>
      <c r="G48" s="1"/>
      <c r="H48" s="1"/>
      <c r="I48" s="1"/>
      <c r="J48" s="1"/>
      <c r="K48" s="1"/>
      <c r="L48" s="1"/>
      <c r="M48" s="1"/>
    </row>
    <row r="49" spans="1:13" ht="15.6">
      <c r="A49" s="1"/>
      <c r="B49" s="1"/>
      <c r="C49" s="1"/>
      <c r="D49" s="1"/>
      <c r="E49" s="1"/>
      <c r="F49" s="1"/>
      <c r="G49" s="1"/>
      <c r="H49" s="1"/>
      <c r="I49" s="1"/>
      <c r="J49" s="1"/>
      <c r="K49" s="1"/>
      <c r="L49" s="1"/>
      <c r="M49" s="1"/>
    </row>
    <row r="50" spans="1:13" ht="15.6">
      <c r="A50" s="1"/>
      <c r="B50" s="1"/>
      <c r="C50" s="1"/>
      <c r="D50" s="1"/>
      <c r="E50" s="1"/>
      <c r="F50" s="1"/>
      <c r="G50" s="1"/>
      <c r="H50" s="1"/>
      <c r="I50" s="1"/>
      <c r="J50" s="1"/>
      <c r="K50" s="1"/>
      <c r="L50" s="1"/>
      <c r="M50" s="1"/>
    </row>
  </sheetData>
  <mergeCells count="29">
    <mergeCell ref="B37:M37"/>
    <mergeCell ref="B42:M42"/>
    <mergeCell ref="B43:M43"/>
    <mergeCell ref="A16:C16"/>
    <mergeCell ref="D16:F16"/>
    <mergeCell ref="G16:I16"/>
    <mergeCell ref="J16:L16"/>
    <mergeCell ref="B19:M19"/>
    <mergeCell ref="B20:M20"/>
    <mergeCell ref="B29:M29"/>
    <mergeCell ref="B30:M30"/>
    <mergeCell ref="B36:M36"/>
    <mergeCell ref="A14:C14"/>
    <mergeCell ref="D14:F14"/>
    <mergeCell ref="G14:I14"/>
    <mergeCell ref="J14:L14"/>
    <mergeCell ref="A15:C15"/>
    <mergeCell ref="D15:F15"/>
    <mergeCell ref="G15:I15"/>
    <mergeCell ref="J15:L15"/>
    <mergeCell ref="A13:C13"/>
    <mergeCell ref="D13:F13"/>
    <mergeCell ref="G13:I13"/>
    <mergeCell ref="J13:L13"/>
    <mergeCell ref="A3:M4"/>
    <mergeCell ref="A12:C12"/>
    <mergeCell ref="D12:F12"/>
    <mergeCell ref="G12:I12"/>
    <mergeCell ref="J12:L12"/>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634F4-5567-4ED9-99FF-D0770FCD5DED}">
  <dimension ref="A1:O67"/>
  <sheetViews>
    <sheetView workbookViewId="0"/>
  </sheetViews>
  <sheetFormatPr defaultRowHeight="14.4"/>
  <cols>
    <col min="2" max="9" width="11.6640625" customWidth="1"/>
    <col min="10" max="13" width="10.33203125" customWidth="1"/>
  </cols>
  <sheetData>
    <row r="1" spans="1:15" ht="18">
      <c r="A1" s="23" t="s">
        <v>1705</v>
      </c>
      <c r="B1" s="497"/>
      <c r="C1" s="342" t="s">
        <v>38</v>
      </c>
      <c r="D1" s="22"/>
      <c r="E1" s="22"/>
      <c r="F1" s="22"/>
      <c r="G1" s="22"/>
      <c r="H1" s="22"/>
      <c r="I1" s="22"/>
      <c r="J1" s="22"/>
      <c r="K1" s="22"/>
      <c r="L1" s="22"/>
      <c r="M1" s="22"/>
    </row>
    <row r="2" spans="1:15" ht="15.6">
      <c r="A2" s="22"/>
      <c r="B2" s="22"/>
      <c r="C2" s="22"/>
      <c r="D2" s="22"/>
      <c r="E2" s="22"/>
      <c r="F2" s="22"/>
      <c r="G2" s="22"/>
      <c r="H2" s="22"/>
      <c r="I2" s="22"/>
      <c r="J2" s="22"/>
      <c r="K2" s="22"/>
      <c r="L2" s="22"/>
      <c r="M2" s="22"/>
    </row>
    <row r="3" spans="1:15" ht="15.6">
      <c r="A3" s="376" t="s">
        <v>668</v>
      </c>
      <c r="B3" s="22"/>
      <c r="C3" s="22"/>
      <c r="D3" s="22"/>
      <c r="E3" s="22"/>
      <c r="F3" s="22"/>
      <c r="G3" s="22"/>
      <c r="H3" s="22"/>
      <c r="I3" s="22"/>
      <c r="J3" s="22"/>
      <c r="K3" s="22"/>
      <c r="L3" s="22"/>
      <c r="M3" s="22"/>
      <c r="N3" s="1025"/>
      <c r="O3" s="1025"/>
    </row>
    <row r="4" spans="1:15" ht="15.6">
      <c r="A4" s="376"/>
      <c r="B4" s="22"/>
      <c r="C4" s="22"/>
      <c r="D4" s="22"/>
      <c r="E4" s="22"/>
      <c r="F4" s="22"/>
      <c r="G4" s="22"/>
      <c r="H4" s="22"/>
      <c r="I4" s="22"/>
      <c r="J4" s="22"/>
      <c r="K4" s="22"/>
      <c r="L4" s="22"/>
      <c r="M4" s="22"/>
      <c r="N4" s="1025"/>
      <c r="O4" s="1025"/>
    </row>
    <row r="5" spans="1:15" ht="15.6">
      <c r="A5" s="408" t="s">
        <v>1843</v>
      </c>
      <c r="B5" s="22"/>
      <c r="C5" s="22"/>
      <c r="D5" s="22"/>
      <c r="E5" s="22"/>
      <c r="F5" s="22"/>
      <c r="G5" s="22"/>
      <c r="H5" s="22"/>
      <c r="I5" s="22"/>
      <c r="J5" s="22"/>
      <c r="K5" s="22"/>
      <c r="L5" s="22"/>
      <c r="M5" s="22"/>
      <c r="N5" s="1025"/>
      <c r="O5" s="1025"/>
    </row>
    <row r="6" spans="1:15" ht="16.2">
      <c r="A6" s="342"/>
      <c r="B6" s="318" t="s">
        <v>64</v>
      </c>
      <c r="C6" s="342"/>
      <c r="D6" s="341"/>
      <c r="E6" s="341"/>
      <c r="F6" s="22"/>
      <c r="G6" s="22"/>
      <c r="H6" s="22"/>
      <c r="I6" s="22"/>
      <c r="J6" s="22"/>
      <c r="K6" s="22"/>
      <c r="L6" s="22"/>
      <c r="M6" s="22"/>
      <c r="N6" s="1025"/>
      <c r="O6" s="1025"/>
    </row>
    <row r="7" spans="1:15" ht="30" customHeight="1">
      <c r="A7" s="1894" t="s">
        <v>1842</v>
      </c>
      <c r="B7" s="1718"/>
      <c r="C7" s="1718"/>
      <c r="D7" s="1718"/>
      <c r="E7" s="1718"/>
      <c r="F7" s="1718"/>
      <c r="G7" s="1718"/>
      <c r="H7" s="1718"/>
      <c r="I7" s="1718"/>
      <c r="J7" s="1718"/>
      <c r="K7" s="1718"/>
      <c r="L7" s="1718"/>
      <c r="M7" s="1718"/>
      <c r="N7" s="629"/>
      <c r="O7" s="629"/>
    </row>
    <row r="8" spans="1:15" ht="30" customHeight="1">
      <c r="A8" s="1718"/>
      <c r="B8" s="1718"/>
      <c r="C8" s="1718"/>
      <c r="D8" s="1718"/>
      <c r="E8" s="1718"/>
      <c r="F8" s="1718"/>
      <c r="G8" s="1718"/>
      <c r="H8" s="1718"/>
      <c r="I8" s="1718"/>
      <c r="J8" s="1718"/>
      <c r="K8" s="1718"/>
      <c r="L8" s="1718"/>
      <c r="M8" s="1718"/>
      <c r="N8" s="629"/>
      <c r="O8" s="629"/>
    </row>
    <row r="9" spans="1:15" ht="45.45" customHeight="1">
      <c r="A9" s="1718"/>
      <c r="B9" s="1718"/>
      <c r="C9" s="1718"/>
      <c r="D9" s="1718"/>
      <c r="E9" s="1718"/>
      <c r="F9" s="1718"/>
      <c r="G9" s="1718"/>
      <c r="H9" s="1718"/>
      <c r="I9" s="1718"/>
      <c r="J9" s="1718"/>
      <c r="K9" s="1718"/>
      <c r="L9" s="1718"/>
      <c r="M9" s="1718"/>
      <c r="N9" s="629"/>
      <c r="O9" s="629"/>
    </row>
    <row r="10" spans="1:15" ht="15.6">
      <c r="A10" s="376" t="s">
        <v>1841</v>
      </c>
      <c r="B10" s="325"/>
      <c r="C10" s="325"/>
      <c r="D10" s="325"/>
      <c r="E10" s="325"/>
      <c r="F10" s="325"/>
      <c r="G10" s="325"/>
      <c r="H10" s="325"/>
      <c r="I10" s="325"/>
      <c r="J10" s="325"/>
      <c r="K10" s="325"/>
      <c r="L10" s="325"/>
      <c r="M10" s="325"/>
      <c r="N10" s="1025"/>
      <c r="O10" s="1025"/>
    </row>
    <row r="11" spans="1:15" ht="15.6">
      <c r="A11" s="376"/>
      <c r="B11" s="325"/>
      <c r="C11" s="325"/>
      <c r="D11" s="325"/>
      <c r="E11" s="325"/>
      <c r="F11" s="325"/>
      <c r="G11" s="325"/>
      <c r="H11" s="325"/>
      <c r="I11" s="325"/>
      <c r="J11" s="325"/>
      <c r="K11" s="325"/>
      <c r="L11" s="325"/>
      <c r="M11" s="325"/>
      <c r="N11" s="1025"/>
      <c r="O11" s="1025"/>
    </row>
    <row r="12" spans="1:15" ht="15.6">
      <c r="A12" s="408" t="s">
        <v>1840</v>
      </c>
      <c r="B12" s="325"/>
      <c r="C12" s="325"/>
      <c r="D12" s="325"/>
      <c r="E12" s="325"/>
      <c r="F12" s="325"/>
      <c r="G12" s="325"/>
      <c r="H12" s="325"/>
      <c r="I12" s="325"/>
      <c r="J12" s="325"/>
      <c r="K12" s="325"/>
      <c r="L12" s="325"/>
      <c r="M12" s="325"/>
      <c r="N12" s="1025"/>
      <c r="O12" s="1025"/>
    </row>
    <row r="13" spans="1:15" ht="15.6">
      <c r="A13" s="804"/>
      <c r="B13" s="325"/>
      <c r="C13" s="325"/>
      <c r="D13" s="325"/>
      <c r="E13" s="325"/>
      <c r="F13" s="325"/>
      <c r="G13" s="325"/>
      <c r="H13" s="325"/>
      <c r="I13" s="325"/>
      <c r="J13" s="325"/>
      <c r="K13" s="325"/>
      <c r="L13" s="325"/>
      <c r="M13" s="325"/>
      <c r="N13" s="1025"/>
      <c r="O13" s="1025"/>
    </row>
    <row r="14" spans="1:15" ht="15.6">
      <c r="A14" s="1158" t="s">
        <v>1839</v>
      </c>
      <c r="B14" s="22"/>
      <c r="C14" s="22"/>
      <c r="D14" s="22"/>
      <c r="E14" s="22"/>
      <c r="F14" s="22"/>
      <c r="G14" s="22"/>
      <c r="H14" s="22"/>
      <c r="I14" s="22"/>
      <c r="J14" s="22"/>
      <c r="K14" s="22"/>
      <c r="L14" s="22"/>
      <c r="M14" s="22"/>
      <c r="N14" s="1025"/>
      <c r="O14" s="1025"/>
    </row>
    <row r="15" spans="1:15" ht="16.2">
      <c r="A15" s="342"/>
      <c r="B15" s="496" t="s">
        <v>64</v>
      </c>
      <c r="C15" s="342"/>
      <c r="D15" s="341"/>
      <c r="E15" s="22"/>
      <c r="F15" s="22"/>
      <c r="G15" s="22"/>
      <c r="H15" s="22"/>
      <c r="I15" s="22"/>
      <c r="J15" s="22"/>
      <c r="K15" s="22"/>
      <c r="L15" s="22"/>
      <c r="M15" s="22"/>
      <c r="N15" s="1025"/>
      <c r="O15" s="1025"/>
    </row>
    <row r="16" spans="1:15">
      <c r="A16" s="1718" t="s">
        <v>1838</v>
      </c>
      <c r="B16" s="1718"/>
      <c r="C16" s="1718"/>
      <c r="D16" s="1718"/>
      <c r="E16" s="1718"/>
      <c r="F16" s="1718"/>
      <c r="G16" s="1718"/>
      <c r="H16" s="1718"/>
      <c r="I16" s="1718"/>
      <c r="J16" s="1718"/>
      <c r="K16" s="1718"/>
      <c r="L16" s="1718"/>
      <c r="M16" s="1718"/>
      <c r="N16" s="1025"/>
      <c r="O16" s="1025"/>
    </row>
    <row r="17" spans="1:15">
      <c r="A17" s="1718"/>
      <c r="B17" s="1718"/>
      <c r="C17" s="1718"/>
      <c r="D17" s="1718"/>
      <c r="E17" s="1718"/>
      <c r="F17" s="1718"/>
      <c r="G17" s="1718"/>
      <c r="H17" s="1718"/>
      <c r="I17" s="1718"/>
      <c r="J17" s="1718"/>
      <c r="K17" s="1718"/>
      <c r="L17" s="1718"/>
      <c r="M17" s="1718"/>
      <c r="N17" s="1025"/>
      <c r="O17" s="1025"/>
    </row>
    <row r="18" spans="1:15">
      <c r="A18" s="1718"/>
      <c r="B18" s="1718"/>
      <c r="C18" s="1718"/>
      <c r="D18" s="1718"/>
      <c r="E18" s="1718"/>
      <c r="F18" s="1718"/>
      <c r="G18" s="1718"/>
      <c r="H18" s="1718"/>
      <c r="I18" s="1718"/>
      <c r="J18" s="1718"/>
      <c r="K18" s="1718"/>
      <c r="L18" s="1718"/>
      <c r="M18" s="1718"/>
      <c r="N18" s="1025"/>
      <c r="O18" s="1025"/>
    </row>
    <row r="19" spans="1:15" ht="15.6">
      <c r="A19" s="1158" t="s">
        <v>1837</v>
      </c>
      <c r="B19" s="22"/>
      <c r="C19" s="22"/>
      <c r="D19" s="22"/>
      <c r="E19" s="22"/>
      <c r="F19" s="22"/>
      <c r="G19" s="22"/>
      <c r="H19" s="22"/>
      <c r="I19" s="22"/>
      <c r="J19" s="22"/>
      <c r="K19" s="22"/>
      <c r="L19" s="22"/>
      <c r="M19" s="22"/>
      <c r="N19" s="1025"/>
      <c r="O19" s="1025"/>
    </row>
    <row r="20" spans="1:15" ht="16.2">
      <c r="A20" s="342"/>
      <c r="B20" s="496" t="s">
        <v>64</v>
      </c>
      <c r="C20" s="342"/>
      <c r="D20" s="341"/>
      <c r="E20" s="22"/>
      <c r="F20" s="22"/>
      <c r="G20" s="22"/>
      <c r="H20" s="22"/>
      <c r="I20" s="22"/>
      <c r="J20" s="22"/>
      <c r="K20" s="22"/>
      <c r="L20" s="22"/>
      <c r="M20" s="22"/>
      <c r="N20" s="1025"/>
      <c r="O20" s="1025"/>
    </row>
    <row r="21" spans="1:15" ht="16.95" customHeight="1">
      <c r="A21" s="1718" t="s">
        <v>1836</v>
      </c>
      <c r="B21" s="1718"/>
      <c r="C21" s="1718"/>
      <c r="D21" s="1718"/>
      <c r="E21" s="1718"/>
      <c r="F21" s="1718"/>
      <c r="G21" s="1718"/>
      <c r="H21" s="1718"/>
      <c r="I21" s="1718"/>
      <c r="J21" s="1718"/>
      <c r="K21" s="1718"/>
      <c r="L21" s="1718"/>
      <c r="M21" s="1718"/>
      <c r="N21" s="1025"/>
      <c r="O21" s="1025"/>
    </row>
    <row r="22" spans="1:15" ht="16.95" customHeight="1">
      <c r="A22" s="1718"/>
      <c r="B22" s="1718"/>
      <c r="C22" s="1718"/>
      <c r="D22" s="1718"/>
      <c r="E22" s="1718"/>
      <c r="F22" s="1718"/>
      <c r="G22" s="1718"/>
      <c r="H22" s="1718"/>
      <c r="I22" s="1718"/>
      <c r="J22" s="1718"/>
      <c r="K22" s="1718"/>
      <c r="L22" s="1718"/>
      <c r="M22" s="1718"/>
      <c r="N22" s="1025"/>
      <c r="O22" s="1025"/>
    </row>
    <row r="23" spans="1:15" ht="16.95" customHeight="1">
      <c r="A23" s="1718"/>
      <c r="B23" s="1718"/>
      <c r="C23" s="1718"/>
      <c r="D23" s="1718"/>
      <c r="E23" s="1718"/>
      <c r="F23" s="1718"/>
      <c r="G23" s="1718"/>
      <c r="H23" s="1718"/>
      <c r="I23" s="1718"/>
      <c r="J23" s="1718"/>
      <c r="K23" s="1718"/>
      <c r="L23" s="1718"/>
      <c r="M23" s="1718"/>
      <c r="N23" s="1025"/>
      <c r="O23" s="1025"/>
    </row>
    <row r="24" spans="1:15" ht="15.6" customHeight="1">
      <c r="A24" s="1859" t="s">
        <v>1835</v>
      </c>
      <c r="B24" s="1859"/>
      <c r="C24" s="1859"/>
      <c r="D24" s="1859"/>
      <c r="E24" s="1859"/>
      <c r="F24" s="1859"/>
      <c r="G24" s="1859"/>
      <c r="H24" s="1859"/>
      <c r="I24" s="1859"/>
      <c r="J24" s="1859"/>
      <c r="K24" s="1859"/>
      <c r="L24" s="1859"/>
      <c r="M24" s="1859"/>
      <c r="N24" s="1025"/>
      <c r="O24" s="1025"/>
    </row>
    <row r="25" spans="1:15" ht="15.6" customHeight="1">
      <c r="A25" s="1859"/>
      <c r="B25" s="1859"/>
      <c r="C25" s="1859"/>
      <c r="D25" s="1859"/>
      <c r="E25" s="1859"/>
      <c r="F25" s="1859"/>
      <c r="G25" s="1859"/>
      <c r="H25" s="1859"/>
      <c r="I25" s="1859"/>
      <c r="J25" s="1859"/>
      <c r="K25" s="1859"/>
      <c r="L25" s="1859"/>
      <c r="M25" s="1859"/>
      <c r="N25" s="1025"/>
      <c r="O25" s="1025"/>
    </row>
    <row r="26" spans="1:15" ht="15.6">
      <c r="A26" s="376"/>
      <c r="B26" s="325"/>
      <c r="C26" s="325"/>
      <c r="D26" s="325"/>
      <c r="E26" s="325"/>
      <c r="F26" s="325"/>
      <c r="G26" s="325"/>
      <c r="H26" s="325"/>
      <c r="I26" s="325"/>
      <c r="J26" s="325"/>
      <c r="K26" s="325"/>
      <c r="L26" s="325"/>
      <c r="M26" s="325"/>
      <c r="N26" s="1025"/>
      <c r="O26" s="1025"/>
    </row>
    <row r="27" spans="1:15" ht="15.6">
      <c r="A27" s="408" t="s">
        <v>1834</v>
      </c>
      <c r="B27" s="22"/>
      <c r="C27" s="22"/>
      <c r="D27" s="22"/>
      <c r="E27" s="22"/>
      <c r="F27" s="22"/>
      <c r="G27" s="22"/>
      <c r="H27" s="22"/>
      <c r="I27" s="22"/>
      <c r="J27" s="22"/>
      <c r="K27" s="22"/>
      <c r="L27" s="22"/>
      <c r="M27" s="22"/>
      <c r="N27" s="1025"/>
      <c r="O27" s="1025"/>
    </row>
    <row r="28" spans="1:15" ht="16.2">
      <c r="A28" s="342"/>
      <c r="B28" s="318" t="s">
        <v>64</v>
      </c>
      <c r="C28" s="342"/>
      <c r="D28" s="341"/>
      <c r="E28" s="22"/>
      <c r="F28" s="22"/>
      <c r="G28" s="22"/>
      <c r="H28" s="22"/>
      <c r="I28" s="22"/>
      <c r="J28" s="22"/>
      <c r="K28" s="22"/>
      <c r="L28" s="22"/>
      <c r="M28" s="22"/>
      <c r="N28" s="1025"/>
      <c r="O28" s="1025"/>
    </row>
    <row r="29" spans="1:15">
      <c r="A29" s="1718" t="s">
        <v>1833</v>
      </c>
      <c r="B29" s="1718"/>
      <c r="C29" s="1718"/>
      <c r="D29" s="1718"/>
      <c r="E29" s="1718"/>
      <c r="F29" s="1718"/>
      <c r="G29" s="1718"/>
      <c r="H29" s="1718"/>
      <c r="I29" s="1718"/>
      <c r="J29" s="1718"/>
      <c r="K29" s="1718"/>
      <c r="L29" s="1718"/>
      <c r="M29" s="1718"/>
      <c r="N29" s="1025"/>
      <c r="O29" s="1025"/>
    </row>
    <row r="30" spans="1:15">
      <c r="A30" s="1718"/>
      <c r="B30" s="1718"/>
      <c r="C30" s="1718"/>
      <c r="D30" s="1718"/>
      <c r="E30" s="1718"/>
      <c r="F30" s="1718"/>
      <c r="G30" s="1718"/>
      <c r="H30" s="1718"/>
      <c r="I30" s="1718"/>
      <c r="J30" s="1718"/>
      <c r="K30" s="1718"/>
      <c r="L30" s="1718"/>
      <c r="M30" s="1718"/>
      <c r="N30" s="1025"/>
      <c r="O30" s="1025"/>
    </row>
    <row r="31" spans="1:15">
      <c r="A31" s="1718"/>
      <c r="B31" s="1718"/>
      <c r="C31" s="1718"/>
      <c r="D31" s="1718"/>
      <c r="E31" s="1718"/>
      <c r="F31" s="1718"/>
      <c r="G31" s="1718"/>
      <c r="H31" s="1718"/>
      <c r="I31" s="1718"/>
      <c r="J31" s="1718"/>
      <c r="K31" s="1718"/>
      <c r="L31" s="1718"/>
      <c r="M31" s="1718"/>
      <c r="N31" s="1025"/>
      <c r="O31" s="1025"/>
    </row>
    <row r="32" spans="1:15" ht="15.6">
      <c r="A32" s="376" t="s">
        <v>1832</v>
      </c>
      <c r="B32" s="325"/>
      <c r="C32" s="325"/>
      <c r="D32" s="325"/>
      <c r="E32" s="325"/>
      <c r="F32" s="325"/>
      <c r="G32" s="325"/>
      <c r="H32" s="325"/>
      <c r="I32" s="325"/>
      <c r="J32" s="325"/>
      <c r="K32" s="325"/>
      <c r="L32" s="325"/>
      <c r="M32" s="325"/>
      <c r="N32" s="1025"/>
      <c r="O32" s="1025"/>
    </row>
    <row r="33" spans="1:15" ht="15.6">
      <c r="A33" s="1161" t="s">
        <v>1831</v>
      </c>
      <c r="B33" s="325"/>
      <c r="C33" s="325"/>
      <c r="D33" s="325"/>
      <c r="E33" s="325"/>
      <c r="F33" s="325"/>
      <c r="G33" s="325"/>
      <c r="H33" s="325"/>
      <c r="I33" s="325"/>
      <c r="J33" s="793"/>
      <c r="K33" s="792" t="s">
        <v>1322</v>
      </c>
      <c r="L33" s="1157">
        <v>200000</v>
      </c>
      <c r="M33" s="325"/>
      <c r="N33" s="1025"/>
      <c r="O33" s="1025"/>
    </row>
    <row r="34" spans="1:15" ht="15.6">
      <c r="A34" s="1161" t="s">
        <v>1830</v>
      </c>
      <c r="B34" s="325"/>
      <c r="C34" s="325"/>
      <c r="D34" s="325"/>
      <c r="E34" s="325"/>
      <c r="F34" s="325"/>
      <c r="G34" s="325"/>
      <c r="H34" s="325"/>
      <c r="I34" s="325"/>
      <c r="J34" s="793"/>
      <c r="K34" s="792" t="s">
        <v>1829</v>
      </c>
      <c r="L34" s="1157">
        <v>100000</v>
      </c>
      <c r="M34" s="325"/>
      <c r="N34" s="1025"/>
      <c r="O34" s="1025"/>
    </row>
    <row r="35" spans="1:15" ht="15.6">
      <c r="A35" s="1161" t="s">
        <v>1828</v>
      </c>
      <c r="B35" s="325"/>
      <c r="C35" s="325"/>
      <c r="D35" s="325"/>
      <c r="E35" s="325"/>
      <c r="F35" s="325"/>
      <c r="G35" s="325"/>
      <c r="H35" s="325"/>
      <c r="I35" s="325"/>
      <c r="J35" s="793"/>
      <c r="K35" s="792" t="s">
        <v>1827</v>
      </c>
      <c r="L35" s="1162">
        <v>0.6</v>
      </c>
      <c r="M35" s="325"/>
      <c r="N35" s="1025"/>
      <c r="O35" s="1025"/>
    </row>
    <row r="36" spans="1:15" ht="15.6">
      <c r="A36" s="1161" t="s">
        <v>1826</v>
      </c>
      <c r="B36" s="325"/>
      <c r="C36" s="325"/>
      <c r="D36" s="325"/>
      <c r="E36" s="325"/>
      <c r="F36" s="325"/>
      <c r="G36" s="325"/>
      <c r="H36" s="325"/>
      <c r="I36" s="325"/>
      <c r="J36" s="793"/>
      <c r="K36" s="792" t="s">
        <v>1318</v>
      </c>
      <c r="L36" s="1157">
        <v>40000</v>
      </c>
      <c r="M36" s="325"/>
      <c r="N36" s="1025"/>
      <c r="O36" s="1025"/>
    </row>
    <row r="37" spans="1:15" ht="15.6">
      <c r="A37" s="804"/>
      <c r="B37" s="325"/>
      <c r="C37" s="325"/>
      <c r="D37" s="325"/>
      <c r="E37" s="325"/>
      <c r="F37" s="325"/>
      <c r="G37" s="325"/>
      <c r="H37" s="325"/>
      <c r="I37" s="325"/>
      <c r="J37" s="325"/>
      <c r="K37" s="325"/>
      <c r="L37" s="325"/>
      <c r="M37" s="325"/>
      <c r="N37" s="1025"/>
      <c r="O37" s="1025"/>
    </row>
    <row r="38" spans="1:15" ht="15.6">
      <c r="A38" s="408" t="s">
        <v>1825</v>
      </c>
      <c r="B38" s="325"/>
      <c r="C38" s="325"/>
      <c r="D38" s="325"/>
      <c r="E38" s="325"/>
      <c r="F38" s="325"/>
      <c r="G38" s="325"/>
      <c r="H38" s="325"/>
      <c r="I38" s="325"/>
      <c r="J38" s="325"/>
      <c r="K38" s="325"/>
      <c r="L38" s="325"/>
      <c r="M38" s="325"/>
      <c r="N38" s="1025"/>
      <c r="O38" s="1025"/>
    </row>
    <row r="39" spans="1:15" ht="15.6">
      <c r="A39" s="804"/>
      <c r="B39" s="325"/>
      <c r="C39" s="325"/>
      <c r="D39" s="325"/>
      <c r="E39" s="325"/>
      <c r="F39" s="325"/>
      <c r="G39" s="325"/>
      <c r="H39" s="325"/>
      <c r="I39" s="325"/>
      <c r="J39" s="325"/>
      <c r="K39" s="325"/>
      <c r="L39" s="325"/>
      <c r="M39" s="325"/>
      <c r="N39" s="1025"/>
      <c r="O39" s="1025"/>
    </row>
    <row r="40" spans="1:15" ht="15.6">
      <c r="A40" s="1158" t="s">
        <v>1824</v>
      </c>
      <c r="B40" s="22"/>
      <c r="C40" s="22"/>
      <c r="D40" s="22"/>
      <c r="E40" s="22"/>
      <c r="F40" s="22"/>
      <c r="G40" s="22"/>
      <c r="H40" s="22"/>
      <c r="I40" s="22"/>
      <c r="J40" s="22"/>
      <c r="K40" s="22"/>
      <c r="L40" s="22"/>
      <c r="M40" s="22"/>
      <c r="N40" s="1025"/>
      <c r="O40" s="1025"/>
    </row>
    <row r="41" spans="1:15" ht="16.2">
      <c r="A41" s="342"/>
      <c r="B41" s="496" t="s">
        <v>64</v>
      </c>
      <c r="C41" s="342"/>
      <c r="D41" s="341"/>
      <c r="E41" s="22"/>
      <c r="F41" s="22"/>
      <c r="G41" s="22"/>
      <c r="H41" s="22"/>
      <c r="I41" s="22"/>
      <c r="J41" s="22"/>
      <c r="K41" s="22"/>
      <c r="L41" s="22"/>
      <c r="M41" s="22"/>
      <c r="N41" s="1025"/>
      <c r="O41" s="1025"/>
    </row>
    <row r="42" spans="1:15" ht="15.6">
      <c r="A42" s="1160"/>
      <c r="B42" s="1" t="s">
        <v>1823</v>
      </c>
      <c r="C42" s="1"/>
      <c r="D42" s="1"/>
      <c r="E42" s="757">
        <f>1-L34/(L33*L35)</f>
        <v>0.16666666666666663</v>
      </c>
      <c r="F42" s="87"/>
      <c r="G42" s="87"/>
      <c r="H42" s="87"/>
      <c r="I42" s="87"/>
      <c r="J42" s="87"/>
      <c r="K42" s="87"/>
      <c r="L42" s="87"/>
      <c r="M42" s="87"/>
      <c r="N42" s="1025"/>
      <c r="O42" s="1025"/>
    </row>
    <row r="43" spans="1:15" ht="15.6">
      <c r="A43" s="1160"/>
      <c r="B43" s="1" t="s">
        <v>1817</v>
      </c>
      <c r="C43" s="1"/>
      <c r="D43" s="1"/>
      <c r="E43" s="474">
        <f>L36*(1-E42)</f>
        <v>33333.333333333336</v>
      </c>
      <c r="F43" s="87"/>
      <c r="G43" s="87"/>
      <c r="H43" s="87"/>
      <c r="I43" s="87"/>
      <c r="J43" s="87"/>
      <c r="K43" s="87"/>
      <c r="L43" s="87"/>
      <c r="M43" s="87"/>
      <c r="N43" s="1025"/>
      <c r="O43" s="1025"/>
    </row>
    <row r="44" spans="1:15" ht="15.6">
      <c r="A44" s="1159"/>
      <c r="B44" s="87"/>
      <c r="C44" s="87"/>
      <c r="D44" s="87"/>
      <c r="E44" s="87"/>
      <c r="F44" s="87"/>
      <c r="G44" s="87"/>
      <c r="H44" s="87"/>
      <c r="I44" s="87"/>
      <c r="J44" s="87"/>
      <c r="K44" s="87"/>
      <c r="L44" s="87"/>
      <c r="M44" s="87"/>
      <c r="N44" s="1025"/>
      <c r="O44" s="1025"/>
    </row>
    <row r="45" spans="1:15" ht="15.6">
      <c r="A45" s="1158" t="s">
        <v>1822</v>
      </c>
      <c r="B45" s="22"/>
      <c r="C45" s="22"/>
      <c r="D45" s="22"/>
      <c r="E45" s="22"/>
      <c r="F45" s="22"/>
      <c r="G45" s="22"/>
      <c r="H45" s="22"/>
      <c r="I45" s="22"/>
      <c r="J45" s="793"/>
      <c r="K45" s="792" t="s">
        <v>1821</v>
      </c>
      <c r="L45" s="1157">
        <v>2500</v>
      </c>
      <c r="M45" s="22"/>
      <c r="N45" s="1025"/>
      <c r="O45" s="1025"/>
    </row>
    <row r="46" spans="1:15" ht="16.2">
      <c r="A46" s="342"/>
      <c r="B46" s="496" t="s">
        <v>64</v>
      </c>
      <c r="C46" s="342"/>
      <c r="D46" s="341"/>
      <c r="E46" s="22"/>
      <c r="F46" s="22"/>
      <c r="G46" s="22"/>
      <c r="H46" s="22"/>
      <c r="I46" s="22"/>
      <c r="J46" s="22"/>
      <c r="K46" s="22"/>
      <c r="L46" s="22"/>
      <c r="M46" s="22"/>
      <c r="N46" s="1025"/>
      <c r="O46" s="1025"/>
    </row>
    <row r="47" spans="1:15" ht="15.6">
      <c r="A47" s="1156"/>
      <c r="B47" s="1"/>
      <c r="C47" s="1"/>
      <c r="D47" s="1"/>
      <c r="E47" s="1"/>
      <c r="F47" s="1"/>
      <c r="G47" s="1"/>
      <c r="H47" s="1"/>
      <c r="I47" s="1"/>
      <c r="J47" s="1"/>
      <c r="K47" s="1"/>
      <c r="L47" s="1"/>
      <c r="M47" s="1"/>
    </row>
    <row r="48" spans="1:15" ht="15.6">
      <c r="A48" s="1156"/>
      <c r="B48" s="1" t="s">
        <v>1820</v>
      </c>
      <c r="C48" s="1"/>
      <c r="D48" s="1"/>
      <c r="E48" s="1"/>
      <c r="F48" s="1"/>
      <c r="G48" s="1"/>
      <c r="H48" s="1"/>
      <c r="I48" s="1"/>
      <c r="J48" s="1"/>
      <c r="K48" s="1"/>
      <c r="L48" s="1"/>
      <c r="M48" s="1"/>
    </row>
    <row r="49" spans="1:13" ht="15.6">
      <c r="A49" s="1"/>
      <c r="B49" s="1"/>
      <c r="C49" s="1"/>
      <c r="D49" s="1"/>
      <c r="E49" s="1"/>
      <c r="F49" s="1"/>
      <c r="G49" s="1"/>
      <c r="H49" s="1"/>
      <c r="I49" s="1"/>
      <c r="J49" s="1"/>
      <c r="K49" s="1"/>
      <c r="L49" s="1"/>
      <c r="M49" s="1"/>
    </row>
    <row r="50" spans="1:13" ht="15.6">
      <c r="A50" s="1"/>
      <c r="B50" s="1" t="s">
        <v>1819</v>
      </c>
      <c r="C50" s="1"/>
      <c r="D50" s="1"/>
      <c r="E50" s="1"/>
      <c r="F50" s="1"/>
      <c r="G50" s="1"/>
      <c r="H50" s="1"/>
      <c r="I50" s="1"/>
      <c r="J50" s="1"/>
      <c r="K50" s="1"/>
      <c r="L50" s="1"/>
      <c r="M50" s="1"/>
    </row>
    <row r="51" spans="1:13" ht="15.6">
      <c r="A51" s="1"/>
      <c r="B51" s="1" t="s">
        <v>1817</v>
      </c>
      <c r="C51" s="1"/>
      <c r="D51" s="1"/>
      <c r="E51" s="474">
        <f>(L36-L45)*(1-E42)</f>
        <v>31250</v>
      </c>
      <c r="F51" s="1"/>
      <c r="H51" s="1"/>
      <c r="I51" s="1"/>
      <c r="J51" s="1"/>
      <c r="K51" s="1"/>
      <c r="L51" s="1"/>
      <c r="M51" s="1"/>
    </row>
    <row r="52" spans="1:13" ht="15.6">
      <c r="A52" s="1"/>
      <c r="B52" s="1"/>
      <c r="C52" s="1"/>
      <c r="D52" s="1"/>
      <c r="E52" s="1"/>
      <c r="F52" s="1"/>
      <c r="H52" s="1"/>
      <c r="I52" s="1"/>
      <c r="J52" s="1"/>
      <c r="K52" s="1"/>
      <c r="L52" s="1"/>
      <c r="M52" s="1"/>
    </row>
    <row r="53" spans="1:13" ht="15.6">
      <c r="A53" s="1"/>
      <c r="B53" s="1" t="s">
        <v>1818</v>
      </c>
      <c r="C53" s="1"/>
      <c r="D53" s="1"/>
      <c r="E53" s="1"/>
      <c r="F53" s="1"/>
      <c r="H53" s="1"/>
      <c r="I53" s="1"/>
      <c r="J53" s="1"/>
      <c r="K53" s="1"/>
      <c r="L53" s="1"/>
      <c r="M53" s="1"/>
    </row>
    <row r="54" spans="1:13" ht="15.6">
      <c r="A54" s="1"/>
      <c r="B54" s="1" t="s">
        <v>1817</v>
      </c>
      <c r="C54" s="1"/>
      <c r="D54" s="1"/>
      <c r="E54" s="474">
        <f>E43-L45</f>
        <v>30833.333333333336</v>
      </c>
      <c r="F54" s="1"/>
      <c r="H54" s="1"/>
      <c r="I54" s="1"/>
      <c r="J54" s="1"/>
      <c r="K54" s="1"/>
      <c r="L54" s="1"/>
      <c r="M54" s="1"/>
    </row>
    <row r="55" spans="1:13" ht="15.6">
      <c r="A55" s="1"/>
      <c r="B55" s="1"/>
      <c r="H55" s="1"/>
      <c r="I55" s="1"/>
      <c r="J55" s="1"/>
      <c r="K55" s="1"/>
      <c r="L55" s="1"/>
      <c r="M55" s="1"/>
    </row>
    <row r="56" spans="1:13" ht="15.6">
      <c r="A56" s="1"/>
      <c r="B56" s="1"/>
      <c r="H56" s="1"/>
      <c r="I56" s="1"/>
      <c r="J56" s="1"/>
      <c r="K56" s="1"/>
      <c r="L56" s="1"/>
      <c r="M56" s="1"/>
    </row>
    <row r="57" spans="1:13" ht="15.6">
      <c r="A57" s="1"/>
      <c r="B57" s="1"/>
      <c r="H57" s="1"/>
      <c r="I57" s="1"/>
      <c r="J57" s="1"/>
      <c r="K57" s="1"/>
      <c r="L57" s="1"/>
      <c r="M57" s="1"/>
    </row>
    <row r="58" spans="1:13" ht="15.6">
      <c r="A58" s="1"/>
      <c r="B58" s="1"/>
      <c r="C58" s="1"/>
      <c r="D58" s="1"/>
      <c r="E58" s="1"/>
      <c r="F58" s="1"/>
      <c r="G58" s="1"/>
      <c r="H58" s="1"/>
      <c r="I58" s="1"/>
      <c r="J58" s="1"/>
      <c r="K58" s="1"/>
      <c r="L58" s="1"/>
      <c r="M58" s="1"/>
    </row>
    <row r="59" spans="1:13" ht="15.6">
      <c r="A59" s="1"/>
      <c r="B59" s="1"/>
      <c r="C59" s="1"/>
      <c r="D59" s="1"/>
      <c r="E59" s="1"/>
      <c r="F59" s="1"/>
      <c r="G59" s="1"/>
      <c r="H59" s="1"/>
      <c r="I59" s="1"/>
      <c r="J59" s="1"/>
      <c r="K59" s="1"/>
      <c r="L59" s="1"/>
      <c r="M59" s="1"/>
    </row>
    <row r="60" spans="1:13" ht="15.6">
      <c r="A60" s="1"/>
      <c r="B60" s="1"/>
      <c r="C60" s="1"/>
      <c r="D60" s="1"/>
      <c r="E60" s="1"/>
      <c r="F60" s="1"/>
      <c r="G60" s="1"/>
      <c r="H60" s="1"/>
      <c r="I60" s="1"/>
      <c r="J60" s="1"/>
      <c r="K60" s="1"/>
      <c r="L60" s="1"/>
      <c r="M60" s="1"/>
    </row>
    <row r="61" spans="1:13" ht="15.6">
      <c r="A61" s="1"/>
      <c r="B61" s="1"/>
      <c r="C61" s="1"/>
      <c r="D61" s="1"/>
      <c r="E61" s="1"/>
      <c r="F61" s="1"/>
      <c r="G61" s="1"/>
      <c r="H61" s="1"/>
      <c r="I61" s="1"/>
      <c r="J61" s="1"/>
      <c r="K61" s="1"/>
      <c r="L61" s="1"/>
      <c r="M61" s="1"/>
    </row>
    <row r="62" spans="1:13" ht="15.6">
      <c r="A62" s="1"/>
      <c r="B62" s="1"/>
      <c r="C62" s="1"/>
      <c r="D62" s="1"/>
      <c r="E62" s="1"/>
      <c r="F62" s="1"/>
      <c r="G62" s="1"/>
      <c r="H62" s="1"/>
      <c r="I62" s="1"/>
      <c r="J62" s="1"/>
      <c r="K62" s="1"/>
      <c r="L62" s="1"/>
      <c r="M62" s="1"/>
    </row>
    <row r="63" spans="1:13" ht="15.6">
      <c r="A63" s="1"/>
      <c r="B63" s="1"/>
      <c r="C63" s="1"/>
      <c r="D63" s="1"/>
      <c r="E63" s="1"/>
      <c r="F63" s="1"/>
      <c r="G63" s="1"/>
      <c r="H63" s="1"/>
      <c r="I63" s="1"/>
      <c r="J63" s="1"/>
      <c r="K63" s="1"/>
      <c r="L63" s="1"/>
      <c r="M63" s="1"/>
    </row>
    <row r="64" spans="1:13" ht="15.6">
      <c r="A64" s="1"/>
      <c r="B64" s="1"/>
      <c r="C64" s="1"/>
      <c r="D64" s="1"/>
      <c r="E64" s="1"/>
      <c r="F64" s="1"/>
      <c r="G64" s="1"/>
      <c r="H64" s="1"/>
      <c r="I64" s="1"/>
      <c r="J64" s="1"/>
      <c r="K64" s="1"/>
      <c r="L64" s="1"/>
      <c r="M64" s="1"/>
    </row>
    <row r="65" spans="1:13" ht="15.6">
      <c r="A65" s="1"/>
      <c r="B65" s="1"/>
      <c r="C65" s="1"/>
      <c r="D65" s="1"/>
      <c r="E65" s="1"/>
      <c r="F65" s="1"/>
      <c r="G65" s="1"/>
      <c r="H65" s="1"/>
      <c r="I65" s="1"/>
      <c r="J65" s="1"/>
      <c r="K65" s="1"/>
      <c r="L65" s="1"/>
      <c r="M65" s="1"/>
    </row>
    <row r="66" spans="1:13" ht="15.6">
      <c r="A66" s="1"/>
      <c r="B66" s="1"/>
      <c r="C66" s="1"/>
      <c r="D66" s="1"/>
      <c r="E66" s="1"/>
      <c r="F66" s="1"/>
      <c r="G66" s="1"/>
      <c r="H66" s="1"/>
      <c r="I66" s="1"/>
      <c r="J66" s="1"/>
      <c r="K66" s="1"/>
      <c r="L66" s="1"/>
      <c r="M66" s="1"/>
    </row>
    <row r="67" spans="1:13" ht="15.6">
      <c r="A67" s="1"/>
      <c r="B67" s="1"/>
      <c r="C67" s="1"/>
      <c r="D67" s="1"/>
      <c r="E67" s="1"/>
      <c r="F67" s="1"/>
      <c r="G67" s="1"/>
      <c r="H67" s="1"/>
      <c r="I67" s="1"/>
      <c r="J67" s="1"/>
      <c r="K67" s="1"/>
      <c r="L67" s="1"/>
      <c r="M67" s="1"/>
    </row>
  </sheetData>
  <mergeCells count="5">
    <mergeCell ref="A7:M9"/>
    <mergeCell ref="A16:M18"/>
    <mergeCell ref="A21:M23"/>
    <mergeCell ref="A24:M25"/>
    <mergeCell ref="A29:M31"/>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28C7B-1906-4953-A8B3-63E226062D2A}">
  <dimension ref="A1:S70"/>
  <sheetViews>
    <sheetView zoomScaleNormal="100" workbookViewId="0"/>
  </sheetViews>
  <sheetFormatPr defaultColWidth="8.88671875" defaultRowHeight="15.6"/>
  <cols>
    <col min="1" max="1" width="8.88671875" style="1"/>
    <col min="2" max="2" width="14" style="1" customWidth="1"/>
    <col min="3" max="6" width="12.6640625" style="1" customWidth="1"/>
    <col min="7" max="7" width="11.5546875" style="1" bestFit="1" customWidth="1"/>
    <col min="8" max="13" width="11.5546875" style="1" customWidth="1"/>
    <col min="14" max="16384" width="8.88671875" style="1"/>
  </cols>
  <sheetData>
    <row r="1" spans="1:19" ht="18" customHeight="1">
      <c r="A1" s="23" t="s">
        <v>707</v>
      </c>
      <c r="B1" s="497"/>
      <c r="C1" s="342" t="s">
        <v>38</v>
      </c>
      <c r="D1" s="22"/>
      <c r="E1" s="22"/>
      <c r="F1" s="22"/>
      <c r="G1" s="22"/>
      <c r="H1" s="22"/>
      <c r="I1" s="22"/>
      <c r="J1" s="22"/>
      <c r="K1" s="22"/>
      <c r="L1" s="22"/>
      <c r="M1" s="22"/>
    </row>
    <row r="2" spans="1:19" ht="13.95" customHeight="1">
      <c r="A2" s="376"/>
      <c r="B2" s="376"/>
      <c r="C2" s="22"/>
      <c r="D2" s="22"/>
      <c r="E2" s="22"/>
      <c r="F2" s="22"/>
      <c r="G2" s="22"/>
      <c r="H2" s="22"/>
      <c r="I2" s="342"/>
      <c r="J2" s="342"/>
      <c r="K2" s="341"/>
      <c r="L2" s="341"/>
      <c r="M2" s="341"/>
    </row>
    <row r="3" spans="1:19" ht="16.2" customHeight="1">
      <c r="A3" s="1692" t="s">
        <v>1871</v>
      </c>
      <c r="B3" s="1692"/>
      <c r="C3" s="1692"/>
      <c r="D3" s="1692"/>
      <c r="E3" s="1692"/>
      <c r="F3" s="1692"/>
      <c r="G3" s="1692"/>
      <c r="H3" s="1692"/>
      <c r="I3" s="1692"/>
      <c r="J3" s="1692"/>
      <c r="K3" s="1692"/>
      <c r="L3" s="1692"/>
      <c r="M3" s="1692"/>
      <c r="N3" s="328"/>
      <c r="O3" s="328"/>
      <c r="P3" s="328"/>
    </row>
    <row r="4" spans="1:19">
      <c r="A4" s="408"/>
      <c r="B4" s="22"/>
      <c r="C4" s="22"/>
      <c r="D4" s="22"/>
      <c r="E4" s="22"/>
      <c r="F4" s="22"/>
      <c r="G4" s="22"/>
      <c r="H4" s="22"/>
      <c r="I4" s="22"/>
      <c r="J4" s="22"/>
      <c r="K4" s="22"/>
      <c r="L4" s="22"/>
      <c r="M4" s="22"/>
      <c r="N4" s="328"/>
      <c r="O4" s="328"/>
      <c r="P4" s="328"/>
    </row>
    <row r="5" spans="1:19" ht="78">
      <c r="A5" s="408"/>
      <c r="B5" s="332" t="s">
        <v>1870</v>
      </c>
      <c r="C5" s="332" t="s">
        <v>1869</v>
      </c>
      <c r="D5" s="332" t="s">
        <v>1868</v>
      </c>
      <c r="E5" s="332" t="s">
        <v>1867</v>
      </c>
      <c r="F5" s="332" t="s">
        <v>1866</v>
      </c>
      <c r="G5" s="22"/>
      <c r="H5" s="22"/>
      <c r="I5" s="22"/>
      <c r="J5" s="22"/>
      <c r="K5" s="22"/>
      <c r="L5" s="334" t="s">
        <v>1865</v>
      </c>
      <c r="M5" s="579">
        <v>0.65</v>
      </c>
      <c r="N5" s="328"/>
      <c r="O5" s="328"/>
      <c r="P5" s="328"/>
    </row>
    <row r="6" spans="1:19">
      <c r="A6" s="408"/>
      <c r="B6" s="1178" t="s">
        <v>1611</v>
      </c>
      <c r="C6" s="1177">
        <v>0.73099999999999998</v>
      </c>
      <c r="D6" s="545">
        <v>0.10199999999999999</v>
      </c>
      <c r="E6" s="545">
        <v>5.0000000000000001E-3</v>
      </c>
      <c r="F6" s="539">
        <v>2.4E-2</v>
      </c>
      <c r="G6" s="22"/>
      <c r="H6" s="22"/>
      <c r="I6" s="22"/>
      <c r="J6" s="22"/>
      <c r="K6" s="22"/>
      <c r="L6" s="22"/>
      <c r="M6" s="22"/>
      <c r="N6" s="328"/>
      <c r="O6" s="328"/>
      <c r="P6" s="328"/>
      <c r="S6" s="328"/>
    </row>
    <row r="7" spans="1:19">
      <c r="A7" s="408"/>
      <c r="B7" s="1178" t="s">
        <v>1610</v>
      </c>
      <c r="C7" s="1177">
        <v>0.86199999999999999</v>
      </c>
      <c r="D7" s="545">
        <v>0.12</v>
      </c>
      <c r="E7" s="545">
        <v>4.0000000000000001E-3</v>
      </c>
      <c r="F7" s="539">
        <v>0.03</v>
      </c>
      <c r="G7" s="22"/>
      <c r="H7" s="22"/>
      <c r="I7" s="22"/>
      <c r="J7" s="22"/>
      <c r="K7" s="22"/>
      <c r="L7" s="22"/>
      <c r="M7" s="22"/>
      <c r="N7" s="328"/>
      <c r="O7" s="328"/>
      <c r="P7" s="328"/>
      <c r="S7" s="328"/>
    </row>
    <row r="8" spans="1:19">
      <c r="A8" s="408"/>
      <c r="B8" s="1178" t="s">
        <v>1609</v>
      </c>
      <c r="C8" s="1177">
        <v>0.93700000000000006</v>
      </c>
      <c r="D8" s="545">
        <v>0.128</v>
      </c>
      <c r="E8" s="545">
        <v>3.0000000000000001E-3</v>
      </c>
      <c r="F8" s="539">
        <v>3.6999999999999998E-2</v>
      </c>
      <c r="G8" s="22"/>
      <c r="H8" s="22"/>
      <c r="I8" s="22"/>
      <c r="J8" s="22"/>
      <c r="K8" s="22"/>
      <c r="L8" s="22"/>
      <c r="M8" s="22"/>
      <c r="N8" s="328"/>
      <c r="O8" s="328"/>
      <c r="P8" s="328"/>
      <c r="S8" s="328"/>
    </row>
    <row r="9" spans="1:19">
      <c r="A9" s="408"/>
      <c r="B9" s="1178" t="s">
        <v>1644</v>
      </c>
      <c r="C9" s="1177">
        <v>0.98</v>
      </c>
      <c r="D9" s="545">
        <v>0.13400000000000001</v>
      </c>
      <c r="E9" s="545">
        <v>3.0000000000000001E-3</v>
      </c>
      <c r="F9" s="539">
        <v>4.4999999999999998E-2</v>
      </c>
      <c r="G9" s="22"/>
      <c r="H9" s="22"/>
      <c r="I9" s="22"/>
      <c r="J9" s="22"/>
      <c r="K9" s="22"/>
      <c r="L9" s="22"/>
      <c r="M9" s="22"/>
      <c r="N9" s="328"/>
      <c r="O9" s="328"/>
      <c r="P9" s="328"/>
      <c r="S9" s="328"/>
    </row>
    <row r="10" spans="1:19">
      <c r="A10" s="408"/>
      <c r="B10" s="1178" t="s">
        <v>1845</v>
      </c>
      <c r="C10" s="1177">
        <v>1</v>
      </c>
      <c r="D10" s="545">
        <v>0.14399999999999999</v>
      </c>
      <c r="E10" s="545">
        <v>2E-3</v>
      </c>
      <c r="F10" s="539">
        <v>0.05</v>
      </c>
      <c r="G10" s="22"/>
      <c r="H10" s="22"/>
      <c r="I10" s="22"/>
      <c r="J10" s="22"/>
      <c r="K10" s="22"/>
      <c r="L10" s="22"/>
      <c r="M10" s="22"/>
      <c r="N10" s="328"/>
      <c r="O10" s="328"/>
      <c r="P10" s="328"/>
      <c r="S10" s="328"/>
    </row>
    <row r="11" spans="1:19">
      <c r="A11" s="408"/>
      <c r="B11" s="22"/>
      <c r="C11" s="22"/>
      <c r="D11" s="22"/>
      <c r="E11" s="22"/>
      <c r="F11" s="22"/>
      <c r="G11" s="22"/>
      <c r="H11" s="22"/>
      <c r="I11" s="22"/>
      <c r="J11" s="22"/>
      <c r="K11" s="22"/>
      <c r="L11" s="22"/>
      <c r="M11" s="22"/>
      <c r="N11" s="328"/>
      <c r="O11" s="328"/>
      <c r="P11" s="328"/>
    </row>
    <row r="12" spans="1:19">
      <c r="A12" s="444" t="s">
        <v>80</v>
      </c>
      <c r="B12" s="1724" t="s">
        <v>1864</v>
      </c>
      <c r="C12" s="1724"/>
      <c r="D12" s="1724"/>
      <c r="E12" s="1724"/>
      <c r="F12" s="1724"/>
      <c r="G12" s="1724"/>
      <c r="H12" s="1724"/>
      <c r="I12" s="1724"/>
      <c r="J12" s="1724"/>
      <c r="K12" s="1724"/>
      <c r="L12" s="1724"/>
      <c r="M12" s="22"/>
      <c r="N12" s="328"/>
      <c r="O12" s="328"/>
      <c r="P12" s="328"/>
    </row>
    <row r="13" spans="1:19" ht="16.2">
      <c r="A13" s="342"/>
      <c r="B13" s="342" t="s">
        <v>64</v>
      </c>
      <c r="C13" s="342"/>
      <c r="D13" s="341"/>
      <c r="E13" s="341"/>
      <c r="F13" s="22"/>
      <c r="G13" s="22"/>
      <c r="H13" s="22"/>
      <c r="I13" s="22"/>
      <c r="J13" s="22"/>
      <c r="K13" s="22"/>
      <c r="L13" s="22"/>
      <c r="M13" s="22"/>
      <c r="N13" s="328"/>
      <c r="O13" s="328"/>
      <c r="P13" s="328"/>
    </row>
    <row r="14" spans="1:19">
      <c r="N14" s="328"/>
      <c r="O14" s="328"/>
      <c r="P14" s="328"/>
    </row>
    <row r="15" spans="1:19" ht="62.4">
      <c r="B15" s="1171" t="s">
        <v>1595</v>
      </c>
      <c r="C15" s="1171" t="s">
        <v>1863</v>
      </c>
      <c r="D15" s="1171" t="s">
        <v>1862</v>
      </c>
      <c r="E15" s="1171" t="s">
        <v>1804</v>
      </c>
      <c r="F15" s="279" t="s">
        <v>1724</v>
      </c>
      <c r="N15" s="328"/>
      <c r="O15" s="328"/>
      <c r="P15" s="328"/>
    </row>
    <row r="16" spans="1:19">
      <c r="B16" s="277" t="str">
        <f>B6</f>
        <v>First</v>
      </c>
      <c r="C16" s="1176">
        <f>C6*$M$5</f>
        <v>0.47515000000000002</v>
      </c>
      <c r="D16" s="1176">
        <f>D6-E6</f>
        <v>9.6999999999999989E-2</v>
      </c>
      <c r="E16" s="1175">
        <f>100%-D16-F6</f>
        <v>0.879</v>
      </c>
      <c r="F16" s="1174">
        <f>E16*C16/C16</f>
        <v>0.879</v>
      </c>
      <c r="N16" s="328"/>
      <c r="O16" s="328"/>
      <c r="P16" s="328"/>
    </row>
    <row r="17" spans="1:16" ht="15.6" customHeight="1">
      <c r="B17" s="277" t="str">
        <f>B7</f>
        <v>Second</v>
      </c>
      <c r="C17" s="1176">
        <f>C7*$M$5</f>
        <v>0.56030000000000002</v>
      </c>
      <c r="D17" s="1176">
        <f>D7-E7</f>
        <v>0.11599999999999999</v>
      </c>
      <c r="E17" s="1175">
        <f>100%-D17-F7</f>
        <v>0.85399999999999998</v>
      </c>
      <c r="F17" s="1174">
        <f>(E17*C17-C16*E16)/(C17-C16)</f>
        <v>0.71449618320610631</v>
      </c>
      <c r="N17" s="328"/>
      <c r="O17" s="328"/>
      <c r="P17" s="328"/>
    </row>
    <row r="18" spans="1:16" ht="15.6" customHeight="1">
      <c r="B18" s="277" t="str">
        <f>B8</f>
        <v>Third</v>
      </c>
      <c r="C18" s="1176">
        <f>C8*$M$5</f>
        <v>0.60905000000000009</v>
      </c>
      <c r="D18" s="1176">
        <f>D8-E8</f>
        <v>0.125</v>
      </c>
      <c r="E18" s="1175">
        <f>100%-D18-F8</f>
        <v>0.83799999999999997</v>
      </c>
      <c r="F18" s="1174">
        <f>(E18*C18-C17*E17)/(C18-C17)</f>
        <v>0.65410666666666606</v>
      </c>
      <c r="N18" s="328"/>
      <c r="O18" s="328"/>
      <c r="P18" s="328"/>
    </row>
    <row r="19" spans="1:16" ht="15.6" customHeight="1">
      <c r="B19" s="277" t="str">
        <f>B9</f>
        <v>Fourth</v>
      </c>
      <c r="C19" s="1176">
        <f>C9*$M$5</f>
        <v>0.63700000000000001</v>
      </c>
      <c r="D19" s="1176">
        <f>D9-E9</f>
        <v>0.13100000000000001</v>
      </c>
      <c r="E19" s="1175">
        <f>100%-D19-F9</f>
        <v>0.82399999999999995</v>
      </c>
      <c r="F19" s="1174">
        <f>(E19*C19-C18*E18)/(C19-C18)</f>
        <v>0.51893023255814175</v>
      </c>
      <c r="N19" s="328"/>
      <c r="O19" s="328"/>
      <c r="P19" s="328"/>
    </row>
    <row r="20" spans="1:16" ht="15.6" customHeight="1">
      <c r="B20" s="277" t="str">
        <f>B10</f>
        <v>Subsequent</v>
      </c>
      <c r="C20" s="1176">
        <f>C10*$M$5</f>
        <v>0.65</v>
      </c>
      <c r="D20" s="1176">
        <f>D10-E10</f>
        <v>0.14199999999999999</v>
      </c>
      <c r="E20" s="1175">
        <f>100%-D20-F10</f>
        <v>0.80799999999999994</v>
      </c>
      <c r="F20" s="1174">
        <f>(E20*C20-C19*E19)/(C20-C19)</f>
        <v>2.3999999999998359E-2</v>
      </c>
      <c r="N20" s="328"/>
      <c r="O20" s="328"/>
      <c r="P20" s="328"/>
    </row>
    <row r="21" spans="1:16">
      <c r="B21" s="277"/>
      <c r="C21" s="277"/>
      <c r="D21" s="277"/>
      <c r="E21" s="277"/>
      <c r="F21" s="277"/>
      <c r="N21" s="328"/>
      <c r="O21" s="328"/>
      <c r="P21" s="328"/>
    </row>
    <row r="22" spans="1:16" ht="31.2" customHeight="1">
      <c r="A22" s="1692" t="s">
        <v>1861</v>
      </c>
      <c r="B22" s="1692"/>
      <c r="C22" s="1692"/>
      <c r="D22" s="1692"/>
      <c r="E22" s="1692"/>
      <c r="F22" s="1692"/>
      <c r="G22" s="1692"/>
      <c r="H22" s="1692"/>
      <c r="I22" s="1692"/>
      <c r="J22" s="1692"/>
      <c r="K22" s="1692"/>
      <c r="L22" s="1692"/>
      <c r="M22" s="22"/>
    </row>
    <row r="23" spans="1:16">
      <c r="A23" s="408"/>
      <c r="B23" s="22"/>
      <c r="C23" s="22"/>
      <c r="D23" s="22"/>
      <c r="E23" s="22"/>
      <c r="F23" s="22"/>
      <c r="G23" s="22"/>
      <c r="H23" s="22"/>
      <c r="I23" s="22"/>
      <c r="J23" s="22"/>
      <c r="K23" s="22"/>
      <c r="L23" s="22"/>
      <c r="M23" s="22"/>
    </row>
    <row r="24" spans="1:16" ht="81" customHeight="1">
      <c r="A24" s="408"/>
      <c r="B24" s="332" t="s">
        <v>1595</v>
      </c>
      <c r="C24" s="332" t="s">
        <v>1860</v>
      </c>
      <c r="D24" s="22"/>
      <c r="E24" s="22"/>
      <c r="F24" s="22"/>
      <c r="G24" s="22"/>
      <c r="H24" s="22"/>
      <c r="I24" s="22"/>
      <c r="J24" s="22"/>
      <c r="K24" s="22"/>
      <c r="L24" s="22"/>
      <c r="M24" s="22"/>
    </row>
    <row r="25" spans="1:16">
      <c r="A25" s="408"/>
      <c r="B25" s="530" t="s">
        <v>1611</v>
      </c>
      <c r="C25" s="1173">
        <v>0.85</v>
      </c>
      <c r="D25" s="22"/>
      <c r="E25" s="22"/>
      <c r="F25" s="22"/>
      <c r="G25" s="22"/>
      <c r="H25" s="22"/>
      <c r="I25" s="22"/>
      <c r="J25" s="22"/>
      <c r="K25" s="22"/>
      <c r="L25" s="22"/>
      <c r="M25" s="22"/>
    </row>
    <row r="26" spans="1:16">
      <c r="A26" s="408"/>
      <c r="B26" s="530" t="s">
        <v>1610</v>
      </c>
      <c r="C26" s="1173">
        <v>0.7</v>
      </c>
      <c r="D26" s="22"/>
      <c r="E26" s="22"/>
      <c r="F26" s="22"/>
      <c r="G26" s="22"/>
      <c r="H26" s="22"/>
      <c r="I26" s="22"/>
      <c r="J26" s="22"/>
      <c r="K26" s="22"/>
      <c r="L26" s="22"/>
      <c r="M26" s="22"/>
    </row>
    <row r="27" spans="1:16">
      <c r="A27" s="408"/>
      <c r="B27" s="530" t="s">
        <v>1609</v>
      </c>
      <c r="C27" s="1173">
        <v>0.65</v>
      </c>
      <c r="D27" s="22"/>
      <c r="E27" s="22"/>
      <c r="F27" s="22"/>
      <c r="G27" s="22"/>
      <c r="H27" s="22"/>
      <c r="I27" s="22"/>
      <c r="J27" s="22"/>
      <c r="K27" s="22"/>
      <c r="L27" s="22"/>
      <c r="M27" s="22"/>
    </row>
    <row r="28" spans="1:16">
      <c r="A28" s="408"/>
      <c r="B28" s="530" t="s">
        <v>1644</v>
      </c>
      <c r="C28" s="1173">
        <v>0.5</v>
      </c>
      <c r="D28" s="22"/>
      <c r="E28" s="22"/>
      <c r="F28" s="22"/>
      <c r="G28" s="22"/>
      <c r="H28" s="22"/>
      <c r="I28" s="22"/>
      <c r="J28" s="22"/>
      <c r="K28" s="22"/>
      <c r="L28" s="22"/>
      <c r="M28" s="22"/>
    </row>
    <row r="29" spans="1:16">
      <c r="A29" s="408"/>
      <c r="B29" s="530" t="s">
        <v>1845</v>
      </c>
      <c r="C29" s="1173">
        <v>0</v>
      </c>
      <c r="D29" s="22"/>
      <c r="E29" s="22"/>
      <c r="F29" s="22"/>
      <c r="G29" s="22"/>
      <c r="H29" s="22"/>
      <c r="I29" s="22"/>
      <c r="J29" s="22"/>
      <c r="K29" s="22"/>
      <c r="L29" s="22"/>
      <c r="M29" s="22"/>
    </row>
    <row r="30" spans="1:16">
      <c r="A30" s="408"/>
      <c r="B30" s="22"/>
      <c r="C30" s="22"/>
      <c r="D30" s="22"/>
      <c r="E30" s="22"/>
      <c r="F30" s="22"/>
      <c r="G30" s="22"/>
      <c r="H30" s="22"/>
      <c r="I30" s="22"/>
      <c r="J30" s="22"/>
      <c r="K30" s="22"/>
      <c r="L30" s="22"/>
      <c r="M30" s="22"/>
    </row>
    <row r="31" spans="1:16">
      <c r="A31" s="408" t="s">
        <v>1859</v>
      </c>
      <c r="B31" s="22"/>
      <c r="C31" s="22"/>
      <c r="D31" s="22"/>
      <c r="E31" s="22"/>
      <c r="F31" s="22"/>
      <c r="G31" s="22"/>
      <c r="H31" s="22"/>
      <c r="I31" s="22"/>
      <c r="J31" s="22"/>
      <c r="K31" s="22"/>
      <c r="L31" s="22"/>
      <c r="M31" s="22"/>
    </row>
    <row r="32" spans="1:16" ht="9.6" customHeight="1">
      <c r="A32" s="408"/>
      <c r="B32" s="22"/>
      <c r="C32" s="22"/>
      <c r="D32" s="22"/>
      <c r="E32" s="22"/>
      <c r="F32" s="22"/>
      <c r="G32" s="22"/>
      <c r="H32" s="22"/>
      <c r="I32" s="22"/>
      <c r="J32" s="22"/>
      <c r="K32" s="22"/>
      <c r="L32" s="22"/>
      <c r="M32" s="22"/>
    </row>
    <row r="33" spans="1:16">
      <c r="A33" s="408"/>
      <c r="B33" s="1851" t="s">
        <v>566</v>
      </c>
      <c r="C33" s="1851"/>
      <c r="D33" s="1173">
        <f>M5</f>
        <v>0.65</v>
      </c>
      <c r="E33" s="22"/>
      <c r="F33" s="22"/>
      <c r="G33" s="22"/>
      <c r="H33" s="22"/>
      <c r="I33" s="22"/>
      <c r="J33" s="22"/>
      <c r="K33" s="22"/>
      <c r="L33" s="22"/>
      <c r="M33" s="22"/>
    </row>
    <row r="34" spans="1:16">
      <c r="A34" s="408"/>
      <c r="B34" s="1851" t="s">
        <v>1858</v>
      </c>
      <c r="C34" s="1851"/>
      <c r="D34" s="1172">
        <v>0.2</v>
      </c>
      <c r="E34" s="22"/>
      <c r="F34" s="22"/>
      <c r="G34" s="22"/>
      <c r="H34" s="22"/>
      <c r="I34" s="22"/>
      <c r="J34" s="22"/>
      <c r="K34" s="22"/>
      <c r="L34" s="22"/>
      <c r="M34" s="22"/>
    </row>
    <row r="35" spans="1:16">
      <c r="A35" s="408"/>
      <c r="B35" s="1851" t="s">
        <v>1857</v>
      </c>
      <c r="C35" s="1851"/>
      <c r="D35" s="1172">
        <v>1.2</v>
      </c>
      <c r="E35" s="22"/>
      <c r="F35" s="22"/>
      <c r="G35" s="22"/>
      <c r="H35" s="22"/>
      <c r="I35" s="22"/>
      <c r="J35" s="22"/>
      <c r="K35" s="22"/>
      <c r="L35" s="22"/>
      <c r="M35" s="22"/>
    </row>
    <row r="36" spans="1:16">
      <c r="A36" s="408"/>
      <c r="B36" s="1851" t="s">
        <v>1856</v>
      </c>
      <c r="C36" s="1851"/>
      <c r="D36" s="1172">
        <v>1.0249999999999999</v>
      </c>
      <c r="E36" s="22"/>
      <c r="F36" s="22"/>
      <c r="G36" s="22"/>
      <c r="H36" s="22"/>
      <c r="I36" s="22"/>
      <c r="J36" s="22"/>
      <c r="K36" s="22"/>
      <c r="L36" s="22"/>
      <c r="M36" s="22"/>
    </row>
    <row r="37" spans="1:16">
      <c r="A37" s="408"/>
      <c r="B37" s="22"/>
      <c r="C37" s="22"/>
      <c r="D37" s="22"/>
      <c r="E37" s="22"/>
      <c r="F37" s="22"/>
      <c r="G37" s="22"/>
      <c r="H37" s="22"/>
      <c r="I37" s="22"/>
      <c r="J37" s="22"/>
      <c r="K37" s="22"/>
      <c r="L37" s="22"/>
      <c r="M37" s="22"/>
    </row>
    <row r="38" spans="1:16" ht="31.2" customHeight="1">
      <c r="A38" s="444" t="s">
        <v>9</v>
      </c>
      <c r="B38" s="1724" t="s">
        <v>1855</v>
      </c>
      <c r="C38" s="1724"/>
      <c r="D38" s="1724"/>
      <c r="E38" s="1724"/>
      <c r="F38" s="1724"/>
      <c r="G38" s="1724"/>
      <c r="H38" s="1724"/>
      <c r="I38" s="1724"/>
      <c r="J38" s="1724"/>
      <c r="K38" s="1724"/>
      <c r="L38" s="1724"/>
      <c r="M38" s="22"/>
    </row>
    <row r="39" spans="1:16" ht="16.2" customHeight="1">
      <c r="A39" s="1168"/>
      <c r="B39" s="342" t="s">
        <v>64</v>
      </c>
      <c r="C39" s="342"/>
      <c r="D39" s="341"/>
      <c r="E39" s="341"/>
      <c r="F39" s="22"/>
      <c r="G39" s="22"/>
      <c r="H39" s="22"/>
      <c r="I39" s="22"/>
      <c r="J39" s="22"/>
      <c r="K39" s="22"/>
      <c r="L39" s="22"/>
      <c r="M39" s="22"/>
    </row>
    <row r="40" spans="1:16">
      <c r="A40" s="328"/>
      <c r="B40" s="328"/>
      <c r="C40" s="328"/>
      <c r="D40" s="328"/>
      <c r="E40" s="328"/>
      <c r="F40" s="328"/>
      <c r="G40" s="328"/>
      <c r="H40" s="328"/>
      <c r="I40" s="328"/>
      <c r="J40" s="328"/>
      <c r="K40" s="328"/>
      <c r="L40" s="328"/>
      <c r="M40" s="328"/>
    </row>
    <row r="41" spans="1:16" ht="46.8">
      <c r="A41" s="328"/>
      <c r="B41" s="1171" t="s">
        <v>1595</v>
      </c>
      <c r="C41" s="279" t="s">
        <v>1854</v>
      </c>
      <c r="D41" s="328"/>
      <c r="E41" s="328"/>
      <c r="F41" s="328"/>
      <c r="G41" s="328"/>
      <c r="H41" s="328"/>
      <c r="I41" s="328"/>
      <c r="J41" s="328"/>
      <c r="K41" s="328"/>
      <c r="L41" s="328"/>
      <c r="M41" s="328"/>
    </row>
    <row r="42" spans="1:16">
      <c r="A42" s="328"/>
      <c r="B42" s="277" t="str">
        <f>B25</f>
        <v>First</v>
      </c>
      <c r="C42" s="1170">
        <f>($D$34*$D$36/($D$33*$C$6))+(C25*$D$35*$D$36)</f>
        <v>1.4769427023045352</v>
      </c>
      <c r="D42" s="328"/>
      <c r="E42" s="328"/>
      <c r="F42" s="328"/>
      <c r="G42" s="328"/>
      <c r="H42" s="328"/>
      <c r="I42" s="328"/>
      <c r="J42" s="328"/>
      <c r="K42" s="328"/>
      <c r="L42" s="328"/>
      <c r="M42" s="328"/>
    </row>
    <row r="43" spans="1:16" ht="15.6" customHeight="1">
      <c r="A43" s="328"/>
      <c r="B43" s="277" t="str">
        <f>B26</f>
        <v>Second</v>
      </c>
      <c r="C43" s="1170">
        <f>C26*$D$35*$D$36</f>
        <v>0.86099999999999988</v>
      </c>
      <c r="D43" s="328"/>
      <c r="E43" s="328"/>
      <c r="F43" s="328"/>
      <c r="G43" s="328"/>
      <c r="H43" s="328"/>
      <c r="I43" s="328"/>
      <c r="J43" s="328"/>
      <c r="K43" s="328"/>
      <c r="L43" s="328"/>
      <c r="M43" s="328"/>
    </row>
    <row r="44" spans="1:16" ht="15.6" customHeight="1">
      <c r="A44" s="328"/>
      <c r="B44" s="277" t="str">
        <f>B27</f>
        <v>Third</v>
      </c>
      <c r="C44" s="1170">
        <f>C27*$D$35*$D$36</f>
        <v>0.79949999999999999</v>
      </c>
      <c r="D44" s="328"/>
      <c r="E44" s="328"/>
      <c r="F44" s="328"/>
      <c r="G44" s="328"/>
      <c r="H44" s="328"/>
      <c r="I44" s="328"/>
      <c r="J44" s="328"/>
      <c r="K44" s="328"/>
      <c r="L44" s="328"/>
      <c r="M44" s="328"/>
    </row>
    <row r="45" spans="1:16" ht="15.6" customHeight="1">
      <c r="A45" s="328"/>
      <c r="B45" s="277" t="str">
        <f>B28</f>
        <v>Fourth</v>
      </c>
      <c r="C45" s="1170">
        <f>C28*$D$35*$D$36</f>
        <v>0.61499999999999988</v>
      </c>
      <c r="D45" s="328"/>
      <c r="E45" s="328"/>
      <c r="F45" s="328"/>
      <c r="G45" s="328"/>
      <c r="H45" s="328"/>
      <c r="I45" s="328"/>
      <c r="J45" s="328"/>
      <c r="K45" s="328"/>
      <c r="L45" s="328"/>
      <c r="M45" s="328"/>
    </row>
    <row r="46" spans="1:16" ht="15.6" customHeight="1">
      <c r="A46" s="328"/>
      <c r="B46" s="277" t="str">
        <f>B29</f>
        <v>Subsequent</v>
      </c>
      <c r="C46" s="1170">
        <f>C29*$D$35*$D$36</f>
        <v>0</v>
      </c>
      <c r="D46" s="328"/>
      <c r="E46" s="328"/>
      <c r="F46" s="328"/>
      <c r="G46" s="328"/>
      <c r="H46" s="328"/>
      <c r="I46" s="328"/>
      <c r="J46" s="328"/>
      <c r="K46" s="328"/>
      <c r="L46" s="328"/>
      <c r="M46" s="328"/>
      <c r="N46" s="328"/>
      <c r="O46" s="328"/>
      <c r="P46" s="328"/>
    </row>
    <row r="47" spans="1:16">
      <c r="A47" s="328"/>
      <c r="D47" s="328"/>
      <c r="E47" s="328"/>
      <c r="F47" s="328"/>
      <c r="G47" s="328"/>
      <c r="H47" s="328"/>
      <c r="I47" s="328"/>
      <c r="J47" s="328"/>
      <c r="K47" s="328"/>
      <c r="L47" s="328"/>
      <c r="M47" s="328"/>
    </row>
    <row r="48" spans="1:16" ht="15.6" customHeight="1">
      <c r="A48" s="408" t="s">
        <v>1853</v>
      </c>
      <c r="B48" s="22"/>
      <c r="C48" s="22"/>
      <c r="D48" s="22"/>
      <c r="E48" s="319"/>
      <c r="F48" s="1169"/>
      <c r="G48" s="22"/>
      <c r="H48" s="22"/>
      <c r="I48" s="22"/>
      <c r="J48" s="22"/>
      <c r="K48" s="22"/>
      <c r="L48" s="22"/>
      <c r="M48" s="22"/>
    </row>
    <row r="49" spans="1:13" ht="15.6" customHeight="1">
      <c r="A49" s="408"/>
      <c r="B49" s="22"/>
      <c r="C49" s="22"/>
      <c r="D49" s="22"/>
      <c r="E49" s="319"/>
      <c r="F49" s="1169"/>
      <c r="G49" s="22"/>
      <c r="H49" s="22"/>
      <c r="I49" s="22"/>
      <c r="J49" s="22"/>
      <c r="K49" s="22"/>
      <c r="L49" s="22"/>
      <c r="M49" s="22"/>
    </row>
    <row r="50" spans="1:13" ht="15.6" customHeight="1">
      <c r="A50" s="408"/>
      <c r="B50" s="1895"/>
      <c r="C50" s="1896"/>
      <c r="D50" s="1897"/>
      <c r="E50" s="1898" t="s">
        <v>1852</v>
      </c>
      <c r="F50" s="1898"/>
      <c r="G50" s="22"/>
      <c r="H50" s="22"/>
      <c r="I50" s="22"/>
      <c r="J50" s="22"/>
      <c r="K50" s="22"/>
      <c r="L50" s="22"/>
      <c r="M50" s="22"/>
    </row>
    <row r="51" spans="1:13" ht="15.6" customHeight="1">
      <c r="A51" s="408"/>
      <c r="B51" s="1899" t="s">
        <v>1851</v>
      </c>
      <c r="C51" s="1899"/>
      <c r="D51" s="1899"/>
      <c r="E51" s="1900">
        <v>72.650000000000006</v>
      </c>
      <c r="F51" s="1900"/>
      <c r="G51" s="22"/>
      <c r="H51" s="22"/>
      <c r="I51" s="22"/>
      <c r="J51" s="22"/>
      <c r="K51" s="22"/>
      <c r="L51" s="22"/>
      <c r="M51" s="22"/>
    </row>
    <row r="52" spans="1:13" ht="15.6" customHeight="1">
      <c r="A52" s="408"/>
      <c r="B52" s="1899" t="s">
        <v>1850</v>
      </c>
      <c r="C52" s="1899"/>
      <c r="D52" s="1899"/>
      <c r="E52" s="1900">
        <v>302.38</v>
      </c>
      <c r="F52" s="1900"/>
      <c r="G52" s="22"/>
      <c r="H52" s="22"/>
      <c r="I52" s="22"/>
      <c r="J52" s="22"/>
      <c r="K52" s="22"/>
      <c r="L52" s="22"/>
      <c r="M52" s="22"/>
    </row>
    <row r="53" spans="1:13" ht="15.6" customHeight="1">
      <c r="A53" s="408"/>
      <c r="B53" s="1899" t="s">
        <v>1849</v>
      </c>
      <c r="C53" s="1899"/>
      <c r="D53" s="1899"/>
      <c r="E53" s="1900">
        <v>298.62</v>
      </c>
      <c r="F53" s="1900"/>
      <c r="G53" s="22"/>
      <c r="H53" s="22"/>
      <c r="I53" s="22"/>
      <c r="J53" s="22"/>
      <c r="K53" s="22"/>
      <c r="L53" s="22"/>
      <c r="M53" s="22"/>
    </row>
    <row r="54" spans="1:13" ht="15.6" customHeight="1">
      <c r="A54" s="408"/>
      <c r="B54" s="22"/>
      <c r="C54" s="22"/>
      <c r="D54" s="22"/>
      <c r="E54" s="319"/>
      <c r="F54" s="1169"/>
      <c r="G54" s="22"/>
      <c r="H54" s="22"/>
      <c r="I54" s="22"/>
      <c r="J54" s="22"/>
      <c r="K54" s="22"/>
      <c r="L54" s="22"/>
      <c r="M54" s="22"/>
    </row>
    <row r="55" spans="1:13" ht="31.2" customHeight="1">
      <c r="A55" s="444" t="s">
        <v>7</v>
      </c>
      <c r="B55" s="1724" t="s">
        <v>1848</v>
      </c>
      <c r="C55" s="1724"/>
      <c r="D55" s="1724"/>
      <c r="E55" s="1724"/>
      <c r="F55" s="1724"/>
      <c r="G55" s="1724"/>
      <c r="H55" s="1724"/>
      <c r="I55" s="1724"/>
      <c r="J55" s="1724"/>
      <c r="K55" s="1724"/>
      <c r="L55" s="1724"/>
      <c r="M55" s="22"/>
    </row>
    <row r="56" spans="1:13" ht="16.2">
      <c r="A56" s="1168"/>
      <c r="B56" s="342" t="s">
        <v>64</v>
      </c>
      <c r="C56" s="342"/>
      <c r="D56" s="341"/>
      <c r="E56" s="341"/>
      <c r="F56" s="22"/>
      <c r="G56" s="22"/>
      <c r="H56" s="22"/>
      <c r="I56" s="22"/>
      <c r="J56" s="22"/>
      <c r="K56" s="22"/>
      <c r="L56" s="22"/>
      <c r="M56" s="22"/>
    </row>
    <row r="58" spans="1:13" ht="18">
      <c r="A58" s="1" t="s">
        <v>1847</v>
      </c>
    </row>
    <row r="59" spans="1:13">
      <c r="B59" s="1167"/>
    </row>
    <row r="60" spans="1:13">
      <c r="B60" s="1" t="s">
        <v>1846</v>
      </c>
    </row>
    <row r="61" spans="1:13">
      <c r="B61" s="277" t="s">
        <v>1611</v>
      </c>
      <c r="C61" s="1166">
        <f>C6</f>
        <v>0.73099999999999998</v>
      </c>
    </row>
    <row r="62" spans="1:13">
      <c r="B62" s="277" t="s">
        <v>1610</v>
      </c>
      <c r="C62" s="1166">
        <f>C7-C6</f>
        <v>0.13100000000000001</v>
      </c>
    </row>
    <row r="63" spans="1:13" ht="15.6" customHeight="1">
      <c r="B63" s="277" t="s">
        <v>1609</v>
      </c>
      <c r="C63" s="1166">
        <f>C8-C7</f>
        <v>7.5000000000000067E-2</v>
      </c>
    </row>
    <row r="64" spans="1:13" ht="15.6" customHeight="1">
      <c r="B64" s="277" t="s">
        <v>1644</v>
      </c>
      <c r="C64" s="1166">
        <f>C9-C8</f>
        <v>4.2999999999999927E-2</v>
      </c>
    </row>
    <row r="65" spans="2:3" ht="15.6" customHeight="1">
      <c r="B65" s="277" t="s">
        <v>1845</v>
      </c>
      <c r="C65" s="1166">
        <f>C10-C9</f>
        <v>2.0000000000000018E-2</v>
      </c>
    </row>
    <row r="66" spans="2:3" ht="15.6" customHeight="1"/>
    <row r="67" spans="2:3" ht="15.6" customHeight="1">
      <c r="B67" s="1" t="s">
        <v>1844</v>
      </c>
      <c r="C67" s="1165" cm="1">
        <f t="array" ref="C67">SUMPRODUCT(C62:C65*C43:C46)/SUM(C62:C65)</f>
        <v>0.7405148698884757</v>
      </c>
    </row>
    <row r="69" spans="2:3">
      <c r="B69" s="1164" t="s">
        <v>1633</v>
      </c>
    </row>
    <row r="70" spans="2:3">
      <c r="B70" s="1163">
        <f>E51*C67+E52-E53</f>
        <v>57.558405297397769</v>
      </c>
      <c r="C70" s="502" t="s">
        <v>1813</v>
      </c>
    </row>
  </sheetData>
  <mergeCells count="17">
    <mergeCell ref="B52:D52"/>
    <mergeCell ref="E52:F52"/>
    <mergeCell ref="B53:D53"/>
    <mergeCell ref="E53:F53"/>
    <mergeCell ref="B55:L55"/>
    <mergeCell ref="B36:C36"/>
    <mergeCell ref="B38:L38"/>
    <mergeCell ref="B50:D50"/>
    <mergeCell ref="E50:F50"/>
    <mergeCell ref="B51:D51"/>
    <mergeCell ref="E51:F51"/>
    <mergeCell ref="B35:C35"/>
    <mergeCell ref="A3:M3"/>
    <mergeCell ref="B12:L12"/>
    <mergeCell ref="A22:L22"/>
    <mergeCell ref="B33:C33"/>
    <mergeCell ref="B34:C3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FDB57-8DDD-4D40-8AFA-647D1F2916C7}">
  <dimension ref="A1:U47"/>
  <sheetViews>
    <sheetView workbookViewId="0"/>
  </sheetViews>
  <sheetFormatPr defaultColWidth="8.88671875" defaultRowHeight="15.6"/>
  <cols>
    <col min="1" max="1" width="8.88671875" style="1"/>
    <col min="2" max="10" width="10.6640625" style="1" customWidth="1"/>
    <col min="11" max="16384" width="8.88671875" style="1"/>
  </cols>
  <sheetData>
    <row r="1" spans="1:21" ht="18" customHeight="1">
      <c r="A1" s="23" t="s">
        <v>1280</v>
      </c>
      <c r="B1" s="497"/>
      <c r="C1" s="342" t="s">
        <v>38</v>
      </c>
      <c r="D1" s="22"/>
      <c r="E1" s="22"/>
      <c r="F1" s="22"/>
      <c r="G1" s="22"/>
      <c r="H1" s="22"/>
      <c r="I1" s="22"/>
      <c r="J1" s="22"/>
      <c r="K1" s="22"/>
      <c r="L1" s="22"/>
      <c r="M1" s="22"/>
    </row>
    <row r="2" spans="1:21">
      <c r="A2" s="22"/>
      <c r="B2" s="22"/>
      <c r="C2" s="22"/>
      <c r="D2" s="22"/>
      <c r="E2" s="22"/>
      <c r="F2" s="22"/>
      <c r="G2" s="22"/>
      <c r="H2" s="22"/>
      <c r="I2" s="22"/>
      <c r="J2" s="22"/>
      <c r="K2" s="22"/>
      <c r="L2" s="22"/>
      <c r="M2" s="22"/>
    </row>
    <row r="3" spans="1:21" ht="15.6" customHeight="1">
      <c r="A3" s="1741" t="s">
        <v>1893</v>
      </c>
      <c r="B3" s="1741"/>
      <c r="C3" s="1741"/>
      <c r="D3" s="1741"/>
      <c r="E3" s="1741"/>
      <c r="F3" s="1741"/>
      <c r="G3" s="1741"/>
      <c r="H3" s="1741"/>
      <c r="I3" s="1741"/>
      <c r="J3" s="1741"/>
      <c r="K3" s="1741"/>
      <c r="L3" s="1741"/>
      <c r="M3" s="499"/>
    </row>
    <row r="4" spans="1:21" ht="16.2" customHeight="1">
      <c r="A4" s="1741"/>
      <c r="B4" s="1741"/>
      <c r="C4" s="1741"/>
      <c r="D4" s="1741"/>
      <c r="E4" s="1741"/>
      <c r="F4" s="1741"/>
      <c r="G4" s="1741"/>
      <c r="H4" s="1741"/>
      <c r="I4" s="1741"/>
      <c r="J4" s="1741"/>
      <c r="K4" s="1741"/>
      <c r="L4" s="1741"/>
      <c r="M4" s="22"/>
    </row>
    <row r="5" spans="1:21">
      <c r="A5" s="408"/>
      <c r="B5" s="22"/>
      <c r="C5" s="22"/>
      <c r="D5" s="22"/>
      <c r="E5" s="22"/>
      <c r="F5" s="22"/>
      <c r="G5" s="22"/>
      <c r="H5" s="22"/>
      <c r="I5" s="22"/>
      <c r="J5" s="22"/>
      <c r="K5" s="22"/>
      <c r="L5" s="22"/>
      <c r="M5" s="22"/>
    </row>
    <row r="6" spans="1:21">
      <c r="A6" s="1901" t="s">
        <v>1892</v>
      </c>
      <c r="B6" s="1757" t="s">
        <v>1891</v>
      </c>
      <c r="C6" s="1757"/>
      <c r="D6" s="1757"/>
      <c r="E6" s="1757"/>
      <c r="F6" s="1757"/>
      <c r="G6" s="1757"/>
      <c r="H6" s="1757"/>
      <c r="I6" s="1757"/>
      <c r="J6" s="1757"/>
      <c r="K6" s="22"/>
      <c r="L6" s="22"/>
      <c r="M6" s="22"/>
    </row>
    <row r="7" spans="1:21">
      <c r="A7" s="1902"/>
      <c r="B7" s="1188">
        <v>6</v>
      </c>
      <c r="C7" s="498">
        <v>7</v>
      </c>
      <c r="D7" s="498">
        <v>8</v>
      </c>
      <c r="E7" s="498">
        <v>9</v>
      </c>
      <c r="F7" s="498">
        <v>10</v>
      </c>
      <c r="G7" s="498">
        <v>11</v>
      </c>
      <c r="H7" s="498">
        <v>12</v>
      </c>
      <c r="I7" s="498">
        <v>13</v>
      </c>
      <c r="J7" s="498">
        <v>14</v>
      </c>
      <c r="K7" s="22"/>
      <c r="L7" s="22"/>
      <c r="M7" s="22"/>
    </row>
    <row r="8" spans="1:21">
      <c r="A8" s="530">
        <v>0</v>
      </c>
      <c r="B8" s="1187">
        <v>541.92999999999995</v>
      </c>
      <c r="C8" s="1187">
        <v>585.29999999999995</v>
      </c>
      <c r="D8" s="1187">
        <v>632.12</v>
      </c>
      <c r="E8" s="1187">
        <v>682.69</v>
      </c>
      <c r="F8" s="1187">
        <v>737.31</v>
      </c>
      <c r="G8" s="1187">
        <v>796.29</v>
      </c>
      <c r="H8" s="1187">
        <v>859.99</v>
      </c>
      <c r="I8" s="1187">
        <v>928.79</v>
      </c>
      <c r="J8" s="1187">
        <v>1003.11</v>
      </c>
      <c r="K8" s="22"/>
      <c r="L8" s="22"/>
      <c r="M8" s="22"/>
      <c r="T8" s="558"/>
      <c r="U8" s="558"/>
    </row>
    <row r="9" spans="1:21">
      <c r="A9" s="530">
        <v>1</v>
      </c>
      <c r="B9" s="1187">
        <v>418.18</v>
      </c>
      <c r="C9" s="1187">
        <v>451.63</v>
      </c>
      <c r="D9" s="1187">
        <v>487.75</v>
      </c>
      <c r="E9" s="1187">
        <v>526.77</v>
      </c>
      <c r="F9" s="1187">
        <v>568.9</v>
      </c>
      <c r="G9" s="1187">
        <v>614.41999999999996</v>
      </c>
      <c r="H9" s="1187">
        <v>663.58</v>
      </c>
      <c r="I9" s="1187">
        <v>716.66</v>
      </c>
      <c r="J9" s="1187">
        <v>773.99</v>
      </c>
      <c r="K9" s="22"/>
      <c r="L9" s="22"/>
      <c r="M9" s="22"/>
    </row>
    <row r="10" spans="1:21">
      <c r="A10" s="530">
        <v>2</v>
      </c>
      <c r="B10" s="1187">
        <v>387.2</v>
      </c>
      <c r="C10" s="1187">
        <v>418.18</v>
      </c>
      <c r="D10" s="1187">
        <v>451.63</v>
      </c>
      <c r="E10" s="1187">
        <v>487.75</v>
      </c>
      <c r="F10" s="1187">
        <v>526.77</v>
      </c>
      <c r="G10" s="1187">
        <v>568.9</v>
      </c>
      <c r="H10" s="1187">
        <v>614.41999999999996</v>
      </c>
      <c r="I10" s="1187">
        <v>663.58</v>
      </c>
      <c r="J10" s="1187">
        <v>716.66</v>
      </c>
      <c r="K10" s="22"/>
      <c r="L10" s="22"/>
      <c r="M10" s="22"/>
    </row>
    <row r="11" spans="1:21">
      <c r="A11" s="530">
        <v>3</v>
      </c>
      <c r="B11" s="1187">
        <v>143.41</v>
      </c>
      <c r="C11" s="1187">
        <v>154.88</v>
      </c>
      <c r="D11" s="1187">
        <v>167.27</v>
      </c>
      <c r="E11" s="1187">
        <v>180.65</v>
      </c>
      <c r="F11" s="1187">
        <v>195.09</v>
      </c>
      <c r="G11" s="1187">
        <v>210.7</v>
      </c>
      <c r="H11" s="1187">
        <v>227.55</v>
      </c>
      <c r="I11" s="1187">
        <v>245.76</v>
      </c>
      <c r="J11" s="1187">
        <v>265.43</v>
      </c>
      <c r="K11" s="22"/>
      <c r="L11" s="22"/>
      <c r="M11" s="22"/>
    </row>
    <row r="12" spans="1:21">
      <c r="A12" s="530">
        <v>4</v>
      </c>
      <c r="B12" s="1187">
        <v>132.78</v>
      </c>
      <c r="C12" s="1187">
        <v>143.41</v>
      </c>
      <c r="D12" s="1187">
        <v>154.88</v>
      </c>
      <c r="E12" s="1187">
        <v>167.27</v>
      </c>
      <c r="F12" s="1187">
        <v>180.65</v>
      </c>
      <c r="G12" s="1187">
        <v>195.09</v>
      </c>
      <c r="H12" s="1187">
        <v>210.7</v>
      </c>
      <c r="I12" s="1187">
        <v>227.55</v>
      </c>
      <c r="J12" s="1187">
        <v>245.76</v>
      </c>
      <c r="K12" s="22"/>
      <c r="L12" s="22"/>
      <c r="M12" s="22"/>
    </row>
    <row r="13" spans="1:21">
      <c r="A13" s="408"/>
      <c r="B13" s="22"/>
      <c r="C13" s="22"/>
      <c r="D13" s="22"/>
      <c r="E13" s="22"/>
      <c r="F13" s="22"/>
      <c r="G13" s="22"/>
      <c r="H13" s="22"/>
      <c r="I13" s="22"/>
      <c r="J13" s="22"/>
      <c r="K13" s="22"/>
      <c r="L13" s="22"/>
      <c r="M13" s="22"/>
    </row>
    <row r="14" spans="1:21">
      <c r="A14" s="22" t="s">
        <v>1890</v>
      </c>
      <c r="B14" s="22"/>
      <c r="C14" s="22"/>
      <c r="D14" s="22"/>
      <c r="E14" s="22"/>
      <c r="F14" s="22"/>
      <c r="G14" s="22"/>
      <c r="H14" s="22"/>
      <c r="I14" s="22"/>
      <c r="J14" s="22"/>
      <c r="K14" s="22"/>
      <c r="L14" s="22"/>
      <c r="M14" s="22"/>
    </row>
    <row r="15" spans="1:21">
      <c r="A15" s="22"/>
      <c r="B15" s="22"/>
      <c r="C15" s="22"/>
      <c r="D15" s="22"/>
      <c r="E15" s="22"/>
      <c r="F15" s="22"/>
      <c r="G15" s="22"/>
      <c r="H15" s="22"/>
      <c r="I15" s="22"/>
      <c r="J15" s="22"/>
      <c r="K15" s="22"/>
      <c r="L15" s="22"/>
      <c r="M15" s="22"/>
    </row>
    <row r="16" spans="1:21">
      <c r="A16" s="22"/>
      <c r="B16" s="22" t="s">
        <v>350</v>
      </c>
      <c r="C16" s="22" t="s">
        <v>1889</v>
      </c>
      <c r="D16" s="22"/>
      <c r="E16" s="22"/>
      <c r="F16" s="22"/>
      <c r="G16" s="22"/>
      <c r="H16" s="22"/>
      <c r="I16" s="22"/>
      <c r="J16" s="22"/>
      <c r="K16" s="22"/>
      <c r="L16" s="22"/>
      <c r="M16" s="22"/>
    </row>
    <row r="17" spans="1:13" ht="16.2">
      <c r="A17" s="342"/>
      <c r="B17" s="342" t="s">
        <v>64</v>
      </c>
      <c r="C17" s="342"/>
      <c r="D17" s="341"/>
      <c r="E17" s="341"/>
      <c r="F17" s="22"/>
      <c r="G17" s="22"/>
      <c r="H17" s="22"/>
      <c r="I17" s="22"/>
      <c r="J17" s="22"/>
      <c r="K17" s="22"/>
      <c r="L17" s="22"/>
      <c r="M17" s="22"/>
    </row>
    <row r="18" spans="1:13">
      <c r="A18" s="757"/>
      <c r="B18" s="1" t="s">
        <v>1888</v>
      </c>
      <c r="D18" s="1" t="s">
        <v>1887</v>
      </c>
      <c r="J18" s="1" t="s">
        <v>1886</v>
      </c>
    </row>
    <row r="19" spans="1:13">
      <c r="A19" s="757"/>
      <c r="B19" s="757" t="s">
        <v>1885</v>
      </c>
      <c r="D19" s="1186" t="str">
        <f>"AY "&amp;B7</f>
        <v>AY 6</v>
      </c>
      <c r="E19" s="1186" t="str">
        <f>"AY "&amp;C7</f>
        <v>AY 7</v>
      </c>
      <c r="F19" s="1186" t="str">
        <f>"AY "&amp;D7</f>
        <v>AY 8</v>
      </c>
      <c r="G19" s="1186" t="str">
        <f>"AY "&amp;E7</f>
        <v>AY 9</v>
      </c>
      <c r="H19" s="1186" t="str">
        <f>"AY "&amp;F7</f>
        <v>AY 10</v>
      </c>
      <c r="I19" s="1186"/>
      <c r="J19" s="1186" t="str">
        <f>"AY "&amp;B7&amp;" to "&amp;C7</f>
        <v>AY 6 to 7</v>
      </c>
      <c r="K19" s="1186" t="str">
        <f>"AY "&amp;C7&amp;" to "&amp;D7</f>
        <v>AY 7 to 8</v>
      </c>
      <c r="L19" s="1186" t="str">
        <f>"AY "&amp;D7&amp;" to "&amp;E7</f>
        <v>AY 8 to 9</v>
      </c>
      <c r="M19" s="1186" t="str">
        <f>"AY "&amp;E7&amp;" to "&amp;F7</f>
        <v>AY 9 to 10</v>
      </c>
    </row>
    <row r="20" spans="1:13">
      <c r="A20" s="757"/>
      <c r="B20" s="1185">
        <f>AVERAGE(J20:M20)-1</f>
        <v>7.9995638524770651E-2</v>
      </c>
      <c r="D20" s="558">
        <f>B8+C9+D10+E11+F12</f>
        <v>1806.4900000000002</v>
      </c>
      <c r="E20" s="558">
        <f>C8+D9+E10+F11+G12</f>
        <v>1950.9799999999998</v>
      </c>
      <c r="F20" s="558">
        <f>D8+E9+F10+G11+H12</f>
        <v>2107.06</v>
      </c>
      <c r="G20" s="558">
        <f>E8+F9+G10+H11+I12</f>
        <v>2275.5900000000006</v>
      </c>
      <c r="H20" s="558">
        <f>F8+G9+H10+I11+J12</f>
        <v>2457.67</v>
      </c>
      <c r="I20" s="558"/>
      <c r="J20" s="1184">
        <f>E20/D20</f>
        <v>1.0799838360577692</v>
      </c>
      <c r="K20" s="1184">
        <f>F20/E20</f>
        <v>1.0800008201006674</v>
      </c>
      <c r="L20" s="1184">
        <f>G20/F20</f>
        <v>1.0799834840963241</v>
      </c>
      <c r="M20" s="1184">
        <f>H20/G20</f>
        <v>1.0800144138443215</v>
      </c>
    </row>
    <row r="21" spans="1:13">
      <c r="A21" s="757"/>
    </row>
    <row r="22" spans="1:13">
      <c r="A22" s="22"/>
      <c r="B22" s="22" t="s">
        <v>344</v>
      </c>
      <c r="C22" s="22" t="s">
        <v>1884</v>
      </c>
      <c r="D22" s="22"/>
      <c r="E22" s="22"/>
      <c r="F22" s="22"/>
      <c r="G22" s="22"/>
      <c r="H22" s="22"/>
      <c r="I22" s="22"/>
      <c r="J22" s="22"/>
      <c r="K22" s="22"/>
      <c r="L22" s="22"/>
      <c r="M22" s="22"/>
    </row>
    <row r="23" spans="1:13" ht="16.2">
      <c r="A23" s="342"/>
      <c r="B23" s="342" t="s">
        <v>64</v>
      </c>
      <c r="C23" s="342"/>
      <c r="D23" s="341"/>
      <c r="E23" s="341"/>
      <c r="F23" s="22"/>
      <c r="G23" s="22"/>
      <c r="H23" s="22"/>
      <c r="I23" s="22"/>
      <c r="J23" s="22"/>
      <c r="K23" s="22"/>
      <c r="L23" s="22"/>
      <c r="M23" s="22"/>
    </row>
    <row r="24" spans="1:13">
      <c r="A24" s="1" t="s">
        <v>1335</v>
      </c>
      <c r="B24" s="1">
        <v>0</v>
      </c>
      <c r="C24" s="1">
        <v>1</v>
      </c>
      <c r="D24" s="1">
        <v>2</v>
      </c>
      <c r="E24" s="1">
        <v>3</v>
      </c>
      <c r="F24" s="1">
        <v>4</v>
      </c>
    </row>
    <row r="25" spans="1:13">
      <c r="A25" s="561"/>
      <c r="B25" s="1183">
        <f ca="1">OFFSET(B$8,B24,0)/$D$20</f>
        <v>0.29999058948568763</v>
      </c>
      <c r="C25" s="1183">
        <f ca="1">OFFSET(C$8,C24,0)/$D$20</f>
        <v>0.25000415169749068</v>
      </c>
      <c r="D25" s="1183">
        <f ca="1">OFFSET(D$8,D24,0)/$D$20</f>
        <v>0.25000415169749068</v>
      </c>
      <c r="E25" s="1183">
        <f ca="1">OFFSET(E$8,E24,0)/$D$20</f>
        <v>0.10000055355966542</v>
      </c>
      <c r="F25" s="1183">
        <f ca="1">OFFSET(F$8,F24,0)/$D$20</f>
        <v>0.10000055355966542</v>
      </c>
      <c r="G25" s="561"/>
      <c r="H25" s="561"/>
      <c r="I25" s="561"/>
      <c r="J25" s="561"/>
      <c r="K25" s="561"/>
      <c r="L25" s="561"/>
      <c r="M25" s="561"/>
    </row>
    <row r="26" spans="1:13">
      <c r="G26" s="1182"/>
      <c r="H26" s="561"/>
      <c r="I26" s="561"/>
      <c r="J26" s="561"/>
      <c r="K26" s="561"/>
      <c r="L26" s="561"/>
      <c r="M26" s="561"/>
    </row>
    <row r="27" spans="1:13">
      <c r="A27" s="22"/>
      <c r="B27" s="22" t="s">
        <v>974</v>
      </c>
      <c r="C27" s="22" t="s">
        <v>1883</v>
      </c>
      <c r="D27" s="22"/>
      <c r="E27" s="22"/>
      <c r="F27" s="22"/>
      <c r="G27" s="22"/>
      <c r="H27" s="22"/>
      <c r="I27" s="22"/>
      <c r="J27" s="22"/>
      <c r="K27" s="22"/>
      <c r="L27" s="22"/>
      <c r="M27" s="22"/>
    </row>
    <row r="28" spans="1:13" ht="16.2">
      <c r="A28" s="342"/>
      <c r="B28" s="342" t="s">
        <v>64</v>
      </c>
      <c r="C28" s="342"/>
      <c r="D28" s="341"/>
      <c r="E28" s="341"/>
      <c r="F28" s="22"/>
      <c r="G28" s="22"/>
      <c r="H28" s="22"/>
      <c r="I28" s="22"/>
      <c r="J28" s="22"/>
      <c r="K28" s="22"/>
      <c r="L28" s="22"/>
      <c r="M28" s="22"/>
    </row>
    <row r="29" spans="1:13">
      <c r="C29" s="1180"/>
      <c r="D29" s="1180"/>
      <c r="E29" s="1180"/>
      <c r="F29" s="1180"/>
      <c r="G29" s="1180"/>
      <c r="H29" s="1180"/>
    </row>
    <row r="30" spans="1:13">
      <c r="B30" s="1107" t="s">
        <v>1882</v>
      </c>
      <c r="C30" s="1" t="s">
        <v>1881</v>
      </c>
      <c r="E30" s="1179" t="s">
        <v>1872</v>
      </c>
      <c r="F30" s="1180"/>
      <c r="G30" s="1180"/>
      <c r="H30" s="1180"/>
    </row>
    <row r="31" spans="1:13">
      <c r="B31" s="1107" t="s">
        <v>1880</v>
      </c>
      <c r="D31" s="1180"/>
      <c r="E31" s="1180"/>
      <c r="F31" s="1180"/>
      <c r="G31" s="1180"/>
      <c r="H31" s="1180"/>
    </row>
    <row r="32" spans="1:13">
      <c r="B32" s="1107" t="s">
        <v>1879</v>
      </c>
      <c r="C32" s="670">
        <f>F8/SUM(F$8:F$12)+C31</f>
        <v>0.33381777681190916</v>
      </c>
      <c r="D32" s="1180"/>
      <c r="E32" s="1180"/>
      <c r="F32" s="1180"/>
      <c r="G32" s="1180"/>
      <c r="H32" s="1180"/>
    </row>
    <row r="33" spans="1:20">
      <c r="B33" s="1107" t="s">
        <v>1878</v>
      </c>
      <c r="C33" s="670">
        <f>F9/SUM(F$8:F$12)+C32</f>
        <v>0.59138777210329962</v>
      </c>
      <c r="D33" s="1180"/>
      <c r="E33" s="1180"/>
      <c r="F33" s="1180"/>
      <c r="G33" s="1180"/>
      <c r="H33" s="1180"/>
    </row>
    <row r="34" spans="1:20">
      <c r="B34" s="1107" t="s">
        <v>1877</v>
      </c>
      <c r="C34" s="670">
        <f>F10/SUM(F$8:F$12)+C33</f>
        <v>0.82988337136441015</v>
      </c>
      <c r="D34" s="1180"/>
      <c r="E34" s="1180"/>
      <c r="F34" s="1180"/>
    </row>
    <row r="35" spans="1:20">
      <c r="B35" s="1107" t="s">
        <v>1876</v>
      </c>
      <c r="C35" s="670">
        <f>F11/SUM(F$8:F$12)+C34</f>
        <v>0.91821054728530549</v>
      </c>
      <c r="D35" s="1180"/>
      <c r="E35" s="1180"/>
      <c r="F35" s="1180"/>
      <c r="G35" s="1180"/>
      <c r="H35" s="1180"/>
    </row>
    <row r="36" spans="1:20">
      <c r="B36" s="1107" t="s">
        <v>1368</v>
      </c>
      <c r="C36" s="670">
        <f>F12/SUM(F$8:F$12)+C35</f>
        <v>1</v>
      </c>
      <c r="D36" s="1180"/>
      <c r="E36" s="1180"/>
      <c r="F36" s="1180"/>
      <c r="G36" s="1180"/>
      <c r="H36" s="1180"/>
    </row>
    <row r="38" spans="1:20">
      <c r="A38" s="22"/>
      <c r="B38" s="22" t="s">
        <v>972</v>
      </c>
      <c r="C38" s="22" t="s">
        <v>1875</v>
      </c>
      <c r="D38" s="22"/>
      <c r="E38" s="22"/>
      <c r="F38" s="22"/>
      <c r="G38" s="22"/>
      <c r="H38" s="22"/>
      <c r="I38" s="22"/>
      <c r="J38" s="22"/>
      <c r="K38" s="22"/>
      <c r="L38" s="22"/>
      <c r="M38" s="22"/>
    </row>
    <row r="39" spans="1:20" ht="16.2">
      <c r="A39" s="342"/>
      <c r="B39" s="342" t="s">
        <v>64</v>
      </c>
      <c r="C39" s="342"/>
      <c r="D39" s="341"/>
      <c r="E39" s="341"/>
      <c r="F39" s="22"/>
      <c r="G39" s="22"/>
      <c r="H39" s="22"/>
      <c r="I39" s="22"/>
      <c r="J39" s="22"/>
      <c r="K39" s="22"/>
      <c r="L39" s="22"/>
      <c r="M39" s="22"/>
    </row>
    <row r="41" spans="1:20">
      <c r="A41" s="1181"/>
      <c r="B41" s="670">
        <f>(G9+H10+I11+J12)/F8</f>
        <v>2.3332926448847839</v>
      </c>
      <c r="D41" s="1180"/>
      <c r="E41" s="1179" t="s">
        <v>1872</v>
      </c>
      <c r="I41" s="424"/>
      <c r="P41" s="1179"/>
      <c r="Q41" s="1179"/>
      <c r="R41" s="1179"/>
      <c r="S41" s="1179"/>
      <c r="T41" s="1179"/>
    </row>
    <row r="42" spans="1:20">
      <c r="I42" s="424"/>
    </row>
    <row r="43" spans="1:20">
      <c r="A43" s="22"/>
      <c r="B43" s="22" t="s">
        <v>1874</v>
      </c>
      <c r="C43" s="22" t="s">
        <v>1873</v>
      </c>
      <c r="D43" s="22"/>
      <c r="E43" s="22"/>
      <c r="F43" s="22"/>
      <c r="G43" s="22"/>
      <c r="H43" s="22"/>
      <c r="I43" s="22"/>
      <c r="J43" s="22"/>
      <c r="K43" s="22"/>
      <c r="L43" s="22"/>
      <c r="M43" s="22"/>
    </row>
    <row r="44" spans="1:20" ht="16.2">
      <c r="A44" s="342"/>
      <c r="B44" s="342" t="s">
        <v>64</v>
      </c>
      <c r="C44" s="342"/>
      <c r="D44" s="341"/>
      <c r="E44" s="341"/>
      <c r="F44" s="22"/>
      <c r="G44" s="22"/>
      <c r="H44" s="22"/>
      <c r="I44" s="22"/>
      <c r="J44" s="22"/>
      <c r="K44" s="22"/>
      <c r="L44" s="22"/>
      <c r="M44" s="22"/>
    </row>
    <row r="46" spans="1:20">
      <c r="A46" s="1181"/>
      <c r="B46" s="670">
        <f>(G9+G10+G11+H10+H11+H12+I11+I12+J12)/(F8+F9+F10)</f>
        <v>1.7271110432192387</v>
      </c>
      <c r="C46" s="1180"/>
      <c r="D46" s="1180"/>
      <c r="E46" s="1179" t="s">
        <v>1872</v>
      </c>
      <c r="I46" s="424"/>
      <c r="P46" s="1179"/>
      <c r="Q46" s="1179"/>
      <c r="R46" s="1179"/>
      <c r="S46" s="1179"/>
      <c r="T46" s="1179"/>
    </row>
    <row r="47" spans="1:20">
      <c r="I47" s="424"/>
    </row>
  </sheetData>
  <mergeCells count="3">
    <mergeCell ref="A3:L4"/>
    <mergeCell ref="A6:A7"/>
    <mergeCell ref="B6:J6"/>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C4655-FED7-4FF6-A7EE-344CA1B129B6}">
  <sheetPr>
    <tabColor theme="1"/>
  </sheetPr>
  <dimension ref="A1"/>
  <sheetViews>
    <sheetView workbookViewId="0">
      <selection activeCell="H37" sqref="H37"/>
    </sheetView>
  </sheetViews>
  <sheetFormatPr defaultRowHeight="14.4"/>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13B86-C5B5-40B4-BD5D-4E919CECA4C4}">
  <dimension ref="A1:L46"/>
  <sheetViews>
    <sheetView zoomScaleNormal="100" workbookViewId="0">
      <selection activeCell="B38" sqref="B38"/>
    </sheetView>
  </sheetViews>
  <sheetFormatPr defaultColWidth="9.109375" defaultRowHeight="15.6"/>
  <cols>
    <col min="1" max="1" width="11" style="1" customWidth="1"/>
    <col min="2" max="4" width="18.6640625" style="1" customWidth="1"/>
    <col min="5" max="6" width="12.33203125" style="1" bestFit="1" customWidth="1"/>
    <col min="7" max="8" width="10.44140625" style="1" bestFit="1" customWidth="1"/>
    <col min="9" max="9" width="12.6640625" style="1" bestFit="1" customWidth="1"/>
    <col min="10" max="10" width="21.6640625" style="1" customWidth="1"/>
    <col min="11" max="11" width="12.5546875" style="1" customWidth="1"/>
    <col min="12" max="13" width="12.33203125" style="1" bestFit="1" customWidth="1"/>
    <col min="14" max="16384" width="9.109375" style="1"/>
  </cols>
  <sheetData>
    <row r="1" spans="1:12" ht="17.399999999999999">
      <c r="A1" s="23" t="s">
        <v>1472</v>
      </c>
      <c r="B1" s="22"/>
      <c r="C1" s="22"/>
      <c r="D1" s="22"/>
      <c r="E1" s="22"/>
      <c r="F1" s="22"/>
      <c r="G1" s="22"/>
      <c r="H1" s="22"/>
      <c r="I1" s="3"/>
      <c r="J1" s="3"/>
      <c r="K1" s="3"/>
      <c r="L1" s="2"/>
    </row>
    <row r="2" spans="1:12" ht="31.5" customHeight="1">
      <c r="A2" s="1733" t="s">
        <v>1928</v>
      </c>
      <c r="B2" s="1733"/>
      <c r="C2" s="1733"/>
      <c r="D2" s="1733"/>
      <c r="E2" s="1733"/>
      <c r="F2" s="1733"/>
      <c r="G2" s="1733"/>
      <c r="H2" s="1733"/>
      <c r="I2" s="3"/>
      <c r="J2" s="3"/>
      <c r="K2" s="3"/>
      <c r="L2" s="2"/>
    </row>
    <row r="3" spans="1:12">
      <c r="A3" s="3"/>
      <c r="B3" s="3"/>
      <c r="C3" s="3"/>
      <c r="D3" s="3"/>
      <c r="E3" s="3"/>
      <c r="F3" s="3"/>
      <c r="G3" s="3"/>
      <c r="H3" s="3"/>
      <c r="I3" s="3"/>
      <c r="J3" s="3"/>
      <c r="K3" s="3"/>
      <c r="L3" s="2"/>
    </row>
    <row r="4" spans="1:12">
      <c r="A4" s="21" t="s">
        <v>1927</v>
      </c>
      <c r="B4" s="3"/>
      <c r="C4" s="3"/>
      <c r="D4" s="3"/>
      <c r="E4" s="3"/>
      <c r="F4" s="3"/>
      <c r="G4" s="3"/>
      <c r="H4" s="3"/>
      <c r="I4" s="3"/>
      <c r="J4" s="3"/>
      <c r="K4" s="3"/>
      <c r="L4" s="2"/>
    </row>
    <row r="5" spans="1:12">
      <c r="A5" s="3"/>
      <c r="B5" s="3"/>
      <c r="C5" s="3"/>
      <c r="D5" s="3"/>
      <c r="E5" s="3"/>
      <c r="F5" s="3"/>
      <c r="G5" s="3"/>
      <c r="H5" s="3"/>
      <c r="I5" s="3"/>
      <c r="J5" s="3"/>
      <c r="K5" s="3"/>
      <c r="L5" s="2"/>
    </row>
    <row r="6" spans="1:12">
      <c r="A6" s="3"/>
      <c r="B6" s="1664" t="s">
        <v>1926</v>
      </c>
      <c r="C6" s="1793"/>
      <c r="D6" s="1665"/>
      <c r="E6" s="3"/>
      <c r="F6" s="3"/>
      <c r="G6" s="3"/>
      <c r="H6" s="3"/>
      <c r="I6" s="3"/>
      <c r="J6" s="3"/>
      <c r="K6" s="3"/>
      <c r="L6" s="2"/>
    </row>
    <row r="7" spans="1:12">
      <c r="A7" s="3"/>
      <c r="B7" s="83" t="s">
        <v>1904</v>
      </c>
      <c r="C7" s="83" t="s">
        <v>1903</v>
      </c>
      <c r="D7" s="83" t="s">
        <v>1902</v>
      </c>
      <c r="E7" s="3"/>
      <c r="F7" s="3"/>
      <c r="G7" s="3"/>
      <c r="H7" s="3"/>
      <c r="I7" s="3"/>
      <c r="J7" s="3"/>
      <c r="K7" s="3"/>
      <c r="L7" s="2"/>
    </row>
    <row r="8" spans="1:12">
      <c r="A8" s="3"/>
      <c r="B8" s="1201">
        <v>42917</v>
      </c>
      <c r="C8" s="1200">
        <v>200000</v>
      </c>
      <c r="D8" s="1199">
        <v>150000</v>
      </c>
      <c r="E8" s="3"/>
      <c r="F8" s="3"/>
      <c r="G8" s="3"/>
      <c r="H8" s="3"/>
      <c r="I8" s="3"/>
      <c r="J8" s="3"/>
      <c r="K8" s="3"/>
      <c r="L8" s="2"/>
    </row>
    <row r="9" spans="1:12">
      <c r="A9" s="3"/>
      <c r="B9" s="1201">
        <v>42917</v>
      </c>
      <c r="C9" s="1200">
        <v>350000</v>
      </c>
      <c r="D9" s="1199">
        <v>400000</v>
      </c>
      <c r="E9" s="3"/>
      <c r="F9" s="3"/>
      <c r="G9" s="3"/>
      <c r="H9" s="3"/>
      <c r="I9" s="3"/>
      <c r="J9" s="3"/>
      <c r="K9" s="3"/>
      <c r="L9" s="2"/>
    </row>
    <row r="10" spans="1:12">
      <c r="A10" s="3"/>
      <c r="B10" s="1201">
        <v>43282</v>
      </c>
      <c r="C10" s="1200">
        <v>225000</v>
      </c>
      <c r="D10" s="1199">
        <v>0</v>
      </c>
      <c r="E10" s="3"/>
      <c r="F10" s="3"/>
      <c r="G10" s="3"/>
      <c r="H10" s="3"/>
      <c r="I10" s="3"/>
      <c r="J10" s="3"/>
      <c r="K10" s="3"/>
      <c r="L10" s="2"/>
    </row>
    <row r="11" spans="1:12">
      <c r="A11" s="3"/>
      <c r="B11" s="1201">
        <v>43282</v>
      </c>
      <c r="C11" s="1200">
        <v>900000</v>
      </c>
      <c r="D11" s="1199">
        <v>450000</v>
      </c>
      <c r="E11" s="3"/>
      <c r="F11" s="3"/>
      <c r="G11" s="3"/>
      <c r="H11" s="3"/>
      <c r="I11" s="3"/>
      <c r="J11" s="3"/>
      <c r="K11" s="3"/>
      <c r="L11" s="2"/>
    </row>
    <row r="12" spans="1:12">
      <c r="A12" s="3"/>
      <c r="B12" s="1201">
        <v>43647</v>
      </c>
      <c r="C12" s="1200">
        <v>250000</v>
      </c>
      <c r="D12" s="1199">
        <v>50000</v>
      </c>
      <c r="E12" s="3"/>
      <c r="F12" s="3"/>
      <c r="G12" s="3"/>
      <c r="H12" s="3"/>
      <c r="I12" s="3"/>
      <c r="J12" s="3"/>
      <c r="K12" s="3"/>
      <c r="L12" s="2"/>
    </row>
    <row r="13" spans="1:12">
      <c r="A13" s="3"/>
      <c r="B13" s="1201">
        <v>43647</v>
      </c>
      <c r="C13" s="1200">
        <v>800000</v>
      </c>
      <c r="D13" s="1199">
        <v>275000</v>
      </c>
      <c r="E13" s="3"/>
      <c r="F13" s="3"/>
      <c r="G13" s="3"/>
      <c r="H13" s="3"/>
      <c r="I13" s="3"/>
      <c r="J13" s="3"/>
      <c r="K13" s="3"/>
      <c r="L13" s="2"/>
    </row>
    <row r="14" spans="1:12">
      <c r="A14" s="3"/>
      <c r="B14" s="3"/>
      <c r="C14" s="3"/>
      <c r="D14" s="3"/>
      <c r="E14" s="3"/>
      <c r="F14" s="3"/>
      <c r="G14" s="3"/>
      <c r="H14" s="3"/>
      <c r="I14" s="3"/>
      <c r="J14" s="3"/>
      <c r="K14" s="3"/>
      <c r="L14" s="2"/>
    </row>
    <row r="15" spans="1:12">
      <c r="A15" s="3" t="s">
        <v>1925</v>
      </c>
      <c r="B15" s="3"/>
      <c r="C15" s="3"/>
      <c r="D15" s="3"/>
      <c r="E15" s="3"/>
      <c r="F15" s="3"/>
      <c r="G15" s="3"/>
      <c r="H15" s="3"/>
      <c r="I15" s="3"/>
      <c r="J15" s="6" t="s">
        <v>1924</v>
      </c>
      <c r="K15" s="10">
        <v>200000</v>
      </c>
      <c r="L15" s="1198"/>
    </row>
    <row r="16" spans="1:12">
      <c r="A16" s="3" t="s">
        <v>1923</v>
      </c>
      <c r="B16" s="3"/>
      <c r="C16" s="3"/>
      <c r="D16" s="3"/>
      <c r="E16" s="3"/>
      <c r="F16" s="3"/>
      <c r="G16" s="3"/>
      <c r="H16" s="3"/>
      <c r="I16" s="3"/>
      <c r="J16" s="6" t="s">
        <v>1922</v>
      </c>
      <c r="K16" s="10">
        <v>1000000</v>
      </c>
      <c r="L16" s="1198"/>
    </row>
    <row r="17" spans="1:12">
      <c r="A17" s="3" t="s">
        <v>1921</v>
      </c>
      <c r="B17" s="3"/>
      <c r="C17" s="1197"/>
      <c r="D17" s="3"/>
      <c r="E17" s="3"/>
      <c r="F17" s="3"/>
      <c r="G17" s="3"/>
      <c r="H17" s="3"/>
      <c r="I17" s="3"/>
      <c r="J17" s="6" t="s">
        <v>1920</v>
      </c>
      <c r="K17" s="10">
        <v>10000000</v>
      </c>
      <c r="L17" s="6" t="s">
        <v>1916</v>
      </c>
    </row>
    <row r="18" spans="1:12">
      <c r="A18" s="3" t="s">
        <v>1919</v>
      </c>
      <c r="B18" s="3"/>
      <c r="C18" s="3"/>
      <c r="D18" s="3"/>
      <c r="E18" s="3"/>
      <c r="F18" s="3"/>
      <c r="G18" s="3"/>
      <c r="H18" s="3"/>
      <c r="I18" s="3"/>
      <c r="J18" s="6"/>
      <c r="K18" s="1195"/>
      <c r="L18" s="6"/>
    </row>
    <row r="19" spans="1:12">
      <c r="A19" s="3" t="s">
        <v>1918</v>
      </c>
      <c r="B19" s="3"/>
      <c r="C19" s="1196"/>
      <c r="D19" s="3"/>
      <c r="E19" s="3"/>
      <c r="F19" s="3"/>
      <c r="G19" s="3"/>
      <c r="H19" s="3"/>
      <c r="I19" s="3"/>
      <c r="J19" s="6" t="s">
        <v>1917</v>
      </c>
      <c r="K19" s="1195">
        <v>0.05</v>
      </c>
      <c r="L19" s="6" t="s">
        <v>1916</v>
      </c>
    </row>
    <row r="20" spans="1:12">
      <c r="A20" s="3" t="s">
        <v>1915</v>
      </c>
      <c r="B20" s="3"/>
      <c r="C20" s="3"/>
      <c r="D20" s="3"/>
      <c r="E20" s="3"/>
      <c r="F20" s="3"/>
      <c r="G20" s="3"/>
      <c r="H20" s="3"/>
      <c r="I20" s="3"/>
      <c r="J20" s="6"/>
      <c r="K20" s="1194" t="s">
        <v>1914</v>
      </c>
      <c r="L20" s="1194" t="s">
        <v>1232</v>
      </c>
    </row>
    <row r="21" spans="1:12">
      <c r="A21" s="3"/>
      <c r="B21" s="3"/>
      <c r="C21" s="3"/>
      <c r="D21" s="3"/>
      <c r="E21" s="3"/>
      <c r="F21" s="3"/>
      <c r="G21" s="3"/>
      <c r="H21" s="3"/>
      <c r="I21" s="3"/>
      <c r="J21" s="6" t="s">
        <v>1907</v>
      </c>
      <c r="K21" s="10">
        <v>750000</v>
      </c>
      <c r="L21" s="10">
        <v>250000</v>
      </c>
    </row>
    <row r="22" spans="1:12">
      <c r="A22" s="3"/>
      <c r="B22" s="470" t="s">
        <v>1913</v>
      </c>
      <c r="C22" s="1193">
        <v>2.4</v>
      </c>
      <c r="D22" s="3"/>
      <c r="E22" s="3"/>
      <c r="F22" s="3"/>
      <c r="G22" s="3"/>
      <c r="H22" s="3"/>
      <c r="I22" s="3"/>
      <c r="J22" s="3"/>
      <c r="K22" s="3"/>
      <c r="L22" s="73" t="s">
        <v>357</v>
      </c>
    </row>
    <row r="23" spans="1:12">
      <c r="A23" s="3"/>
      <c r="B23" s="470" t="s">
        <v>1912</v>
      </c>
      <c r="C23" s="1193">
        <v>1.4</v>
      </c>
      <c r="D23" s="3"/>
      <c r="E23" s="3"/>
      <c r="F23" s="3"/>
      <c r="G23" s="3"/>
      <c r="H23" s="3"/>
      <c r="I23" s="3"/>
      <c r="J23" s="3"/>
      <c r="K23" s="3"/>
      <c r="L23" s="2"/>
    </row>
    <row r="24" spans="1:12">
      <c r="A24" s="3"/>
      <c r="B24" s="470" t="s">
        <v>1911</v>
      </c>
      <c r="C24" s="1193">
        <v>1.1000000000000001</v>
      </c>
      <c r="D24" s="3"/>
      <c r="E24" s="3"/>
      <c r="F24" s="3"/>
      <c r="G24" s="3"/>
      <c r="H24" s="3"/>
      <c r="I24" s="3"/>
      <c r="J24" s="3"/>
      <c r="K24" s="3"/>
      <c r="L24" s="2"/>
    </row>
    <row r="25" spans="1:12">
      <c r="A25" s="3"/>
      <c r="B25" s="3"/>
      <c r="C25" s="3"/>
      <c r="D25" s="3"/>
      <c r="E25" s="3"/>
      <c r="F25" s="3"/>
      <c r="G25" s="3"/>
      <c r="H25" s="3"/>
      <c r="I25" s="3"/>
      <c r="J25" s="3"/>
      <c r="K25" s="3"/>
      <c r="L25" s="2"/>
    </row>
    <row r="26" spans="1:12">
      <c r="A26" s="3" t="s">
        <v>1910</v>
      </c>
      <c r="B26" s="3"/>
      <c r="C26" s="3"/>
      <c r="D26" s="3"/>
      <c r="E26" s="3"/>
      <c r="F26" s="3"/>
      <c r="G26" s="3"/>
      <c r="H26" s="3"/>
      <c r="I26" s="3"/>
      <c r="J26" s="3"/>
      <c r="K26" s="3"/>
      <c r="L26" s="2"/>
    </row>
    <row r="27" spans="1:12">
      <c r="A27" s="1" t="s">
        <v>50</v>
      </c>
    </row>
    <row r="29" spans="1:12">
      <c r="A29" s="1" t="s">
        <v>1909</v>
      </c>
      <c r="C29" s="1">
        <v>2021</v>
      </c>
      <c r="F29" s="9" t="s">
        <v>47</v>
      </c>
      <c r="G29" s="9" t="s">
        <v>1908</v>
      </c>
    </row>
    <row r="30" spans="1:12">
      <c r="A30" s="1" t="s">
        <v>1907</v>
      </c>
      <c r="C30" s="494">
        <f>K21</f>
        <v>750000</v>
      </c>
      <c r="F30" s="9">
        <v>2017</v>
      </c>
      <c r="G30" s="1192">
        <f>C24</f>
        <v>1.1000000000000001</v>
      </c>
    </row>
    <row r="31" spans="1:12">
      <c r="A31" s="1" t="s">
        <v>1906</v>
      </c>
      <c r="C31" s="494">
        <f>L21</f>
        <v>250000</v>
      </c>
      <c r="F31" s="9">
        <v>2018</v>
      </c>
      <c r="G31" s="1192">
        <f>C23</f>
        <v>1.4</v>
      </c>
    </row>
    <row r="32" spans="1:12">
      <c r="A32" s="1" t="s">
        <v>1905</v>
      </c>
      <c r="C32" s="560">
        <f>K19</f>
        <v>0.05</v>
      </c>
      <c r="F32" s="9">
        <v>2019</v>
      </c>
      <c r="G32" s="1192">
        <f>C22</f>
        <v>2.4</v>
      </c>
    </row>
    <row r="34" spans="1:12" ht="46.8">
      <c r="A34" s="279" t="s">
        <v>1904</v>
      </c>
      <c r="B34" s="279" t="s">
        <v>1903</v>
      </c>
      <c r="C34" s="279" t="s">
        <v>1902</v>
      </c>
      <c r="D34" s="279" t="s">
        <v>499</v>
      </c>
      <c r="E34" s="279" t="s">
        <v>1901</v>
      </c>
      <c r="F34" s="279" t="s">
        <v>1900</v>
      </c>
      <c r="G34" s="279" t="s">
        <v>1899</v>
      </c>
      <c r="H34" s="279" t="s">
        <v>1898</v>
      </c>
      <c r="I34" s="279" t="s">
        <v>1897</v>
      </c>
      <c r="J34" s="279" t="s">
        <v>1896</v>
      </c>
      <c r="K34" s="279" t="s">
        <v>1895</v>
      </c>
      <c r="L34" s="279" t="s">
        <v>1894</v>
      </c>
    </row>
    <row r="35" spans="1:12">
      <c r="A35" s="1191">
        <f t="shared" ref="A35:C40" si="0">B8</f>
        <v>42917</v>
      </c>
      <c r="B35" s="501">
        <f t="shared" si="0"/>
        <v>200000</v>
      </c>
      <c r="C35" s="501">
        <f t="shared" si="0"/>
        <v>150000</v>
      </c>
      <c r="D35" s="506">
        <f t="shared" ref="D35:D40" si="1">$C$29-YEAR(A35)</f>
        <v>4</v>
      </c>
      <c r="E35" s="506">
        <f t="shared" ref="E35:E40" si="2">B35*(1+$C$32)^$D35</f>
        <v>243101.25</v>
      </c>
      <c r="F35" s="501">
        <f t="shared" ref="F35:F40" si="3">MAX(0,E35-$C$31)</f>
        <v>0</v>
      </c>
      <c r="G35" s="501">
        <f t="shared" ref="G35:G40" si="4">MIN(F35,$C$30)</f>
        <v>0</v>
      </c>
      <c r="H35" s="506">
        <f t="shared" ref="H35:H40" si="5">C35*(1+$C$32)^$D35</f>
        <v>182325.9375</v>
      </c>
      <c r="I35" s="501">
        <f t="shared" ref="I35:I40" si="6">H35*(G35/MIN($K$16,E35))</f>
        <v>0</v>
      </c>
      <c r="J35" s="501">
        <f t="shared" ref="J35:J40" si="7">I35+G35</f>
        <v>0</v>
      </c>
      <c r="K35" s="1190">
        <f t="shared" ref="K35:K40" si="8">VLOOKUP(YEAR(A35),$F$30:$G$32,2)</f>
        <v>1.1000000000000001</v>
      </c>
      <c r="L35" s="506">
        <f t="shared" ref="L35:L40" si="9">J35*K35</f>
        <v>0</v>
      </c>
    </row>
    <row r="36" spans="1:12">
      <c r="A36" s="1191">
        <f t="shared" si="0"/>
        <v>42917</v>
      </c>
      <c r="B36" s="501">
        <f t="shared" si="0"/>
        <v>350000</v>
      </c>
      <c r="C36" s="501">
        <f t="shared" si="0"/>
        <v>400000</v>
      </c>
      <c r="D36" s="506">
        <f t="shared" si="1"/>
        <v>4</v>
      </c>
      <c r="E36" s="506">
        <f t="shared" si="2"/>
        <v>425427.1875</v>
      </c>
      <c r="F36" s="501">
        <f t="shared" si="3"/>
        <v>175427.1875</v>
      </c>
      <c r="G36" s="501">
        <f t="shared" si="4"/>
        <v>175427.1875</v>
      </c>
      <c r="H36" s="506">
        <f t="shared" si="5"/>
        <v>486202.5</v>
      </c>
      <c r="I36" s="501">
        <f t="shared" si="6"/>
        <v>200488.21428571429</v>
      </c>
      <c r="J36" s="501">
        <f t="shared" si="7"/>
        <v>375915.40178571432</v>
      </c>
      <c r="K36" s="1190">
        <f t="shared" si="8"/>
        <v>1.1000000000000001</v>
      </c>
      <c r="L36" s="506">
        <f t="shared" si="9"/>
        <v>413506.9419642858</v>
      </c>
    </row>
    <row r="37" spans="1:12">
      <c r="A37" s="1191">
        <f t="shared" si="0"/>
        <v>43282</v>
      </c>
      <c r="B37" s="501">
        <f t="shared" si="0"/>
        <v>225000</v>
      </c>
      <c r="C37" s="501">
        <f t="shared" si="0"/>
        <v>0</v>
      </c>
      <c r="D37" s="506">
        <f t="shared" si="1"/>
        <v>3</v>
      </c>
      <c r="E37" s="506">
        <f t="shared" si="2"/>
        <v>260465.62500000003</v>
      </c>
      <c r="F37" s="501">
        <f t="shared" si="3"/>
        <v>10465.625000000029</v>
      </c>
      <c r="G37" s="501">
        <f t="shared" si="4"/>
        <v>10465.625000000029</v>
      </c>
      <c r="H37" s="506">
        <f t="shared" si="5"/>
        <v>0</v>
      </c>
      <c r="I37" s="501">
        <f t="shared" si="6"/>
        <v>0</v>
      </c>
      <c r="J37" s="501">
        <f t="shared" si="7"/>
        <v>10465.625000000029</v>
      </c>
      <c r="K37" s="1190">
        <f t="shared" si="8"/>
        <v>1.4</v>
      </c>
      <c r="L37" s="506">
        <f t="shared" si="9"/>
        <v>14651.87500000004</v>
      </c>
    </row>
    <row r="38" spans="1:12">
      <c r="A38" s="1191">
        <f t="shared" si="0"/>
        <v>43282</v>
      </c>
      <c r="B38" s="501">
        <f t="shared" si="0"/>
        <v>900000</v>
      </c>
      <c r="C38" s="501">
        <f t="shared" si="0"/>
        <v>450000</v>
      </c>
      <c r="D38" s="506">
        <f t="shared" si="1"/>
        <v>3</v>
      </c>
      <c r="E38" s="506">
        <f t="shared" si="2"/>
        <v>1041862.5000000001</v>
      </c>
      <c r="F38" s="501">
        <f t="shared" si="3"/>
        <v>791862.50000000012</v>
      </c>
      <c r="G38" s="501">
        <f t="shared" si="4"/>
        <v>750000</v>
      </c>
      <c r="H38" s="506">
        <f t="shared" si="5"/>
        <v>520931.25000000006</v>
      </c>
      <c r="I38" s="501">
        <f t="shared" si="6"/>
        <v>390698.43750000006</v>
      </c>
      <c r="J38" s="501">
        <f t="shared" si="7"/>
        <v>1140698.4375</v>
      </c>
      <c r="K38" s="1190">
        <f t="shared" si="8"/>
        <v>1.4</v>
      </c>
      <c r="L38" s="506">
        <f t="shared" si="9"/>
        <v>1596977.8125</v>
      </c>
    </row>
    <row r="39" spans="1:12">
      <c r="A39" s="1191">
        <f t="shared" si="0"/>
        <v>43647</v>
      </c>
      <c r="B39" s="501">
        <f t="shared" si="0"/>
        <v>250000</v>
      </c>
      <c r="C39" s="501">
        <f t="shared" si="0"/>
        <v>50000</v>
      </c>
      <c r="D39" s="506">
        <f t="shared" si="1"/>
        <v>2</v>
      </c>
      <c r="E39" s="506">
        <f t="shared" si="2"/>
        <v>275625</v>
      </c>
      <c r="F39" s="501">
        <f t="shared" si="3"/>
        <v>25625</v>
      </c>
      <c r="G39" s="501">
        <f t="shared" si="4"/>
        <v>25625</v>
      </c>
      <c r="H39" s="506">
        <f t="shared" si="5"/>
        <v>55125</v>
      </c>
      <c r="I39" s="501">
        <f t="shared" si="6"/>
        <v>5125</v>
      </c>
      <c r="J39" s="501">
        <f t="shared" si="7"/>
        <v>30750</v>
      </c>
      <c r="K39" s="1190">
        <f t="shared" si="8"/>
        <v>2.4</v>
      </c>
      <c r="L39" s="506">
        <f t="shared" si="9"/>
        <v>73800</v>
      </c>
    </row>
    <row r="40" spans="1:12">
      <c r="A40" s="1191">
        <f t="shared" si="0"/>
        <v>43647</v>
      </c>
      <c r="B40" s="501">
        <f t="shared" si="0"/>
        <v>800000</v>
      </c>
      <c r="C40" s="501">
        <f t="shared" si="0"/>
        <v>275000</v>
      </c>
      <c r="D40" s="506">
        <f t="shared" si="1"/>
        <v>2</v>
      </c>
      <c r="E40" s="506">
        <f t="shared" si="2"/>
        <v>882000</v>
      </c>
      <c r="F40" s="501">
        <f t="shared" si="3"/>
        <v>632000</v>
      </c>
      <c r="G40" s="501">
        <f t="shared" si="4"/>
        <v>632000</v>
      </c>
      <c r="H40" s="506">
        <f t="shared" si="5"/>
        <v>303187.5</v>
      </c>
      <c r="I40" s="501">
        <f t="shared" si="6"/>
        <v>217250.00000000003</v>
      </c>
      <c r="J40" s="501">
        <f t="shared" si="7"/>
        <v>849250</v>
      </c>
      <c r="K40" s="1190">
        <f t="shared" si="8"/>
        <v>2.4</v>
      </c>
      <c r="L40" s="506">
        <f t="shared" si="9"/>
        <v>2038200</v>
      </c>
    </row>
    <row r="41" spans="1:12">
      <c r="A41" s="9"/>
      <c r="B41" s="9"/>
      <c r="C41" s="9"/>
      <c r="D41" s="9"/>
      <c r="E41" s="9"/>
      <c r="F41" s="9"/>
      <c r="G41" s="9"/>
      <c r="H41" s="9"/>
      <c r="I41" s="9"/>
      <c r="J41" s="9"/>
      <c r="K41" s="9"/>
      <c r="L41" s="506">
        <f>SUM(L35:L40)</f>
        <v>4137136.6294642859</v>
      </c>
    </row>
    <row r="43" spans="1:12">
      <c r="A43" s="1" t="s">
        <v>1304</v>
      </c>
      <c r="B43" s="1189">
        <f>L41/(3*K17)</f>
        <v>0.13790455431547619</v>
      </c>
    </row>
    <row r="46" spans="1:12">
      <c r="I46" s="1106"/>
    </row>
  </sheetData>
  <mergeCells count="2">
    <mergeCell ref="A2:H2"/>
    <mergeCell ref="B6:D6"/>
  </mergeCells>
  <pageMargins left="0.7" right="0.7" top="0.75" bottom="0.75" header="0.3" footer="0.3"/>
  <pageSetup orientation="portrait" horizontalDpi="0"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EE647-5244-43E3-9599-3BDA717FC365}">
  <dimension ref="A1:N70"/>
  <sheetViews>
    <sheetView zoomScaleNormal="100" workbookViewId="0">
      <selection activeCell="B38" sqref="B38"/>
    </sheetView>
  </sheetViews>
  <sheetFormatPr defaultColWidth="9.109375" defaultRowHeight="15.6"/>
  <cols>
    <col min="1" max="1" width="11.5546875" style="1" customWidth="1"/>
    <col min="2" max="2" width="15.5546875" style="1" customWidth="1"/>
    <col min="3" max="3" width="16.5546875" style="1" customWidth="1"/>
    <col min="4" max="4" width="12.5546875" style="1" customWidth="1"/>
    <col min="5" max="5" width="11.88671875" style="1" customWidth="1"/>
    <col min="6" max="6" width="11.5546875" style="1" customWidth="1"/>
    <col min="7" max="7" width="10.109375" style="1" customWidth="1"/>
    <col min="8" max="16384" width="9.109375" style="1"/>
  </cols>
  <sheetData>
    <row r="1" spans="1:12" ht="17.399999999999999">
      <c r="A1" s="23" t="s">
        <v>669</v>
      </c>
      <c r="B1" s="22"/>
      <c r="C1" s="22"/>
      <c r="D1" s="22"/>
      <c r="E1" s="22"/>
      <c r="F1" s="22"/>
      <c r="G1" s="22"/>
      <c r="H1" s="22"/>
      <c r="I1" s="22"/>
      <c r="J1" s="22"/>
      <c r="K1" s="2"/>
      <c r="L1" s="2"/>
    </row>
    <row r="2" spans="1:12">
      <c r="A2" s="3" t="s">
        <v>1959</v>
      </c>
      <c r="B2" s="3"/>
      <c r="C2" s="3"/>
      <c r="D2" s="3"/>
      <c r="E2" s="3"/>
      <c r="F2" s="3"/>
      <c r="G2" s="3"/>
      <c r="H2" s="3"/>
      <c r="I2" s="3"/>
      <c r="J2" s="3"/>
      <c r="K2" s="3"/>
      <c r="L2" s="3"/>
    </row>
    <row r="3" spans="1:12">
      <c r="A3" s="3"/>
      <c r="B3" s="3"/>
      <c r="C3" s="3"/>
      <c r="D3" s="3"/>
      <c r="E3" s="3"/>
      <c r="F3" s="3"/>
      <c r="G3" s="3"/>
      <c r="H3" s="3"/>
      <c r="I3" s="3"/>
      <c r="J3" s="3"/>
      <c r="K3" s="3"/>
      <c r="L3" s="3"/>
    </row>
    <row r="4" spans="1:12">
      <c r="A4" s="3" t="s">
        <v>1958</v>
      </c>
      <c r="B4" s="3"/>
      <c r="C4" s="3"/>
      <c r="D4" s="3"/>
      <c r="E4" s="162">
        <v>1.5</v>
      </c>
      <c r="F4" s="3"/>
      <c r="G4" s="3"/>
      <c r="H4" s="3"/>
      <c r="I4" s="3"/>
      <c r="J4" s="3"/>
      <c r="K4" s="3"/>
      <c r="L4" s="3"/>
    </row>
    <row r="5" spans="1:12">
      <c r="A5" s="3"/>
      <c r="B5" s="3"/>
      <c r="C5" s="3"/>
      <c r="D5" s="3"/>
      <c r="E5" s="162"/>
      <c r="F5" s="3"/>
      <c r="G5" s="3"/>
      <c r="H5" s="3"/>
      <c r="I5" s="3"/>
      <c r="J5" s="3"/>
      <c r="K5" s="3"/>
      <c r="L5" s="3"/>
    </row>
    <row r="6" spans="1:12">
      <c r="A6" s="3" t="s">
        <v>1957</v>
      </c>
      <c r="B6" s="3"/>
      <c r="C6" s="3"/>
      <c r="D6" s="3"/>
      <c r="E6" s="162"/>
      <c r="F6" s="3"/>
      <c r="G6" s="3"/>
      <c r="H6" s="3"/>
      <c r="I6" s="3"/>
      <c r="J6" s="3"/>
      <c r="K6" s="3"/>
      <c r="L6" s="3"/>
    </row>
    <row r="7" spans="1:12">
      <c r="A7" s="3"/>
      <c r="B7" s="3"/>
      <c r="C7" s="3"/>
      <c r="D7" s="3"/>
      <c r="E7" s="3"/>
      <c r="F7" s="3"/>
      <c r="G7" s="3"/>
      <c r="H7" s="3"/>
      <c r="I7" s="3"/>
      <c r="J7" s="3"/>
      <c r="K7" s="3"/>
      <c r="L7" s="3"/>
    </row>
    <row r="8" spans="1:12" ht="40.5" customHeight="1">
      <c r="A8" s="3"/>
      <c r="B8" s="134" t="s">
        <v>1956</v>
      </c>
      <c r="C8" s="134" t="s">
        <v>1952</v>
      </c>
      <c r="D8" s="3"/>
      <c r="E8" s="3"/>
      <c r="F8" s="3"/>
      <c r="G8" s="3"/>
      <c r="H8" s="3"/>
      <c r="I8" s="3"/>
      <c r="J8" s="3"/>
      <c r="K8" s="3"/>
      <c r="L8" s="3"/>
    </row>
    <row r="9" spans="1:12">
      <c r="A9" s="3"/>
      <c r="B9" s="133">
        <v>1</v>
      </c>
      <c r="C9" s="133">
        <v>0.5</v>
      </c>
      <c r="D9" s="3"/>
      <c r="E9" s="3"/>
      <c r="F9" s="3"/>
      <c r="G9" s="3"/>
      <c r="H9" s="3"/>
      <c r="I9" s="3"/>
      <c r="J9" s="3"/>
      <c r="K9" s="3"/>
      <c r="L9" s="3"/>
    </row>
    <row r="10" spans="1:12">
      <c r="A10" s="3"/>
      <c r="B10" s="133">
        <v>2</v>
      </c>
      <c r="C10" s="133">
        <v>0.4</v>
      </c>
      <c r="D10" s="3"/>
      <c r="E10" s="3"/>
      <c r="F10" s="3"/>
      <c r="G10" s="3"/>
      <c r="H10" s="3"/>
      <c r="I10" s="3"/>
      <c r="J10" s="3"/>
      <c r="K10" s="3"/>
      <c r="L10" s="3"/>
    </row>
    <row r="11" spans="1:12">
      <c r="A11" s="3"/>
      <c r="B11" s="133">
        <v>3</v>
      </c>
      <c r="C11" s="133">
        <v>0.1</v>
      </c>
      <c r="D11" s="3"/>
      <c r="E11" s="3"/>
      <c r="F11" s="3"/>
      <c r="G11" s="3"/>
      <c r="H11" s="3"/>
      <c r="I11" s="3"/>
      <c r="J11" s="3"/>
      <c r="K11" s="3"/>
      <c r="L11" s="3"/>
    </row>
    <row r="12" spans="1:12">
      <c r="A12" s="3"/>
      <c r="B12" s="250"/>
      <c r="C12" s="250"/>
      <c r="D12" s="3"/>
      <c r="E12" s="3"/>
      <c r="F12" s="3"/>
      <c r="G12" s="3"/>
      <c r="H12" s="3"/>
      <c r="I12" s="3"/>
      <c r="J12" s="3"/>
      <c r="K12" s="3"/>
      <c r="L12" s="3"/>
    </row>
    <row r="13" spans="1:12">
      <c r="A13" s="3" t="s">
        <v>1955</v>
      </c>
      <c r="B13" s="250"/>
      <c r="C13" s="250"/>
      <c r="D13" s="3"/>
      <c r="E13" s="3"/>
      <c r="F13" s="3"/>
      <c r="G13" s="3"/>
      <c r="H13" s="3"/>
      <c r="I13" s="3"/>
      <c r="J13" s="3"/>
      <c r="K13" s="3"/>
      <c r="L13" s="3"/>
    </row>
    <row r="14" spans="1:12">
      <c r="A14" s="3"/>
      <c r="B14" s="3"/>
      <c r="C14" s="3"/>
      <c r="D14" s="3"/>
      <c r="E14" s="3"/>
      <c r="F14" s="3"/>
      <c r="G14" s="3"/>
      <c r="H14" s="3"/>
      <c r="I14" s="3"/>
      <c r="J14" s="3"/>
      <c r="K14" s="3"/>
      <c r="L14" s="3"/>
    </row>
    <row r="15" spans="1:12">
      <c r="A15" s="3" t="s">
        <v>1954</v>
      </c>
      <c r="B15" s="3"/>
      <c r="C15" s="3"/>
      <c r="D15" s="3"/>
      <c r="E15" s="3"/>
      <c r="F15" s="3"/>
      <c r="G15" s="3"/>
      <c r="H15" s="3"/>
      <c r="I15" s="3"/>
      <c r="J15" s="3"/>
      <c r="K15" s="3"/>
      <c r="L15" s="3"/>
    </row>
    <row r="16" spans="1:12">
      <c r="A16" s="1" t="s">
        <v>50</v>
      </c>
    </row>
    <row r="17" spans="2:3" ht="46.8">
      <c r="B17" s="134" t="s">
        <v>1953</v>
      </c>
      <c r="C17" s="134" t="s">
        <v>1952</v>
      </c>
    </row>
    <row r="18" spans="2:3">
      <c r="B18" s="133">
        <v>0</v>
      </c>
      <c r="C18" s="1207">
        <f>EXP(-E4)</f>
        <v>0.22313016014842982</v>
      </c>
    </row>
    <row r="19" spans="2:3">
      <c r="B19" s="133">
        <v>1</v>
      </c>
      <c r="C19" s="1206">
        <v>0.1673</v>
      </c>
    </row>
    <row r="20" spans="2:3">
      <c r="B20" s="133">
        <v>2</v>
      </c>
      <c r="C20" s="1206">
        <v>0.1966</v>
      </c>
    </row>
    <row r="21" spans="2:3">
      <c r="B21" s="133">
        <v>3</v>
      </c>
      <c r="C21" s="1206">
        <v>0.14960000000000001</v>
      </c>
    </row>
    <row r="22" spans="2:3">
      <c r="B22" s="133">
        <v>4</v>
      </c>
      <c r="C22" s="1207">
        <f t="shared" ref="C22:C33" si="0">ROUND($E$4/B22*(C21*$C$9+2*C20*$C$10+3*C19*$C$11),4)</f>
        <v>0.10589999999999999</v>
      </c>
    </row>
    <row r="23" spans="2:3">
      <c r="B23" s="133">
        <v>5</v>
      </c>
      <c r="C23" s="1207">
        <f t="shared" si="0"/>
        <v>6.9500000000000006E-2</v>
      </c>
    </row>
    <row r="24" spans="2:3">
      <c r="B24" s="133">
        <v>6</v>
      </c>
      <c r="C24" s="1206">
        <f t="shared" si="0"/>
        <v>4.1099999999999998E-2</v>
      </c>
    </row>
    <row r="25" spans="2:3">
      <c r="B25" s="133">
        <v>7</v>
      </c>
      <c r="C25" s="1207">
        <f t="shared" si="0"/>
        <v>2.3099999999999999E-2</v>
      </c>
    </row>
    <row r="26" spans="2:3">
      <c r="B26" s="133">
        <v>8</v>
      </c>
      <c r="C26" s="1207">
        <f t="shared" si="0"/>
        <v>1.2200000000000001E-2</v>
      </c>
    </row>
    <row r="27" spans="2:3">
      <c r="B27" s="133">
        <v>9</v>
      </c>
      <c r="C27" s="1207">
        <f t="shared" si="0"/>
        <v>6.1999999999999998E-3</v>
      </c>
    </row>
    <row r="28" spans="2:3">
      <c r="B28" s="133">
        <v>10</v>
      </c>
      <c r="C28" s="1207">
        <f t="shared" si="0"/>
        <v>3.0000000000000001E-3</v>
      </c>
    </row>
    <row r="29" spans="2:3">
      <c r="B29" s="133">
        <v>11</v>
      </c>
      <c r="C29" s="1207">
        <f t="shared" si="0"/>
        <v>1.4E-3</v>
      </c>
    </row>
    <row r="30" spans="2:3">
      <c r="B30" s="133">
        <v>12</v>
      </c>
      <c r="C30" s="1207">
        <f t="shared" si="0"/>
        <v>5.9999999999999995E-4</v>
      </c>
    </row>
    <row r="31" spans="2:3">
      <c r="B31" s="133">
        <v>13</v>
      </c>
      <c r="C31" s="1207">
        <f t="shared" si="0"/>
        <v>2.9999999999999997E-4</v>
      </c>
    </row>
    <row r="32" spans="2:3">
      <c r="B32" s="133">
        <v>14</v>
      </c>
      <c r="C32" s="1206">
        <f t="shared" si="0"/>
        <v>1E-4</v>
      </c>
    </row>
    <row r="33" spans="1:14">
      <c r="B33" s="133">
        <v>15</v>
      </c>
      <c r="C33" s="1206">
        <f t="shared" si="0"/>
        <v>0</v>
      </c>
    </row>
    <row r="34" spans="1:14">
      <c r="C34" s="478">
        <f>SUM(C18:C33)</f>
        <v>1.0000301601484298</v>
      </c>
      <c r="D34" s="1" t="s">
        <v>1951</v>
      </c>
    </row>
    <row r="36" spans="1:14">
      <c r="A36" s="3" t="s">
        <v>1950</v>
      </c>
      <c r="B36" s="3"/>
      <c r="C36" s="3"/>
      <c r="D36" s="3"/>
      <c r="E36" s="3"/>
      <c r="F36" s="3"/>
      <c r="G36" s="3"/>
      <c r="H36" s="3"/>
      <c r="I36" s="3"/>
      <c r="J36" s="3"/>
      <c r="K36" s="3"/>
      <c r="L36" s="3"/>
      <c r="M36" s="3"/>
      <c r="N36" s="187"/>
    </row>
    <row r="37" spans="1:14">
      <c r="A37" s="1068"/>
      <c r="B37" s="3"/>
      <c r="C37" s="3"/>
      <c r="D37" s="3"/>
      <c r="E37" s="3"/>
      <c r="F37" s="3"/>
      <c r="G37" s="3"/>
      <c r="H37" s="3"/>
      <c r="I37" s="3"/>
      <c r="J37" s="3"/>
      <c r="K37" s="3"/>
      <c r="L37" s="3"/>
      <c r="M37" s="3"/>
      <c r="N37" s="187"/>
    </row>
    <row r="38" spans="1:14">
      <c r="A38" s="1068" t="s">
        <v>1949</v>
      </c>
      <c r="B38" s="3"/>
      <c r="C38" s="1205">
        <v>2.5</v>
      </c>
      <c r="D38" s="3" t="s">
        <v>1813</v>
      </c>
      <c r="E38" s="3"/>
      <c r="F38" s="3"/>
      <c r="G38" s="3"/>
      <c r="H38" s="3"/>
      <c r="I38" s="3"/>
      <c r="J38" s="3"/>
      <c r="K38" s="3"/>
      <c r="L38" s="3"/>
      <c r="M38" s="3"/>
      <c r="N38" s="187"/>
    </row>
    <row r="39" spans="1:14">
      <c r="A39" s="1068" t="s">
        <v>1948</v>
      </c>
      <c r="B39" s="3"/>
      <c r="C39" s="1205">
        <v>10</v>
      </c>
      <c r="D39" s="3" t="s">
        <v>1813</v>
      </c>
      <c r="E39" s="3"/>
      <c r="F39" s="3"/>
      <c r="G39" s="3"/>
      <c r="H39" s="3"/>
      <c r="I39" s="3"/>
      <c r="J39" s="3"/>
      <c r="K39" s="3"/>
      <c r="L39" s="3"/>
      <c r="M39" s="3"/>
      <c r="N39" s="187"/>
    </row>
    <row r="40" spans="1:14">
      <c r="A40" s="1068" t="s">
        <v>1947</v>
      </c>
      <c r="B40" s="3"/>
      <c r="C40" s="1068" t="s">
        <v>1946</v>
      </c>
      <c r="D40" s="3"/>
      <c r="E40" s="3"/>
      <c r="F40" s="3"/>
      <c r="G40" s="3"/>
      <c r="H40" s="3"/>
      <c r="I40" s="3"/>
      <c r="J40" s="3"/>
      <c r="K40" s="3"/>
      <c r="L40" s="3"/>
      <c r="M40" s="3"/>
      <c r="N40" s="187"/>
    </row>
    <row r="41" spans="1:14">
      <c r="A41" s="1068" t="s">
        <v>1945</v>
      </c>
      <c r="B41" s="3"/>
      <c r="C41" s="1068" t="s">
        <v>1944</v>
      </c>
      <c r="D41" s="3"/>
      <c r="E41" s="3"/>
      <c r="F41" s="3"/>
      <c r="G41" s="3"/>
      <c r="H41" s="3"/>
      <c r="I41" s="3"/>
      <c r="J41" s="3"/>
      <c r="K41" s="3"/>
      <c r="L41" s="3"/>
      <c r="M41" s="3"/>
      <c r="N41" s="187"/>
    </row>
    <row r="42" spans="1:14">
      <c r="A42" s="60"/>
      <c r="B42" s="60"/>
      <c r="C42" s="60"/>
      <c r="D42" s="60"/>
      <c r="E42" s="60"/>
      <c r="F42" s="60"/>
      <c r="G42" s="60"/>
      <c r="H42" s="60"/>
      <c r="I42" s="3"/>
      <c r="J42" s="3"/>
      <c r="K42" s="3"/>
      <c r="L42" s="3"/>
      <c r="M42" s="3"/>
      <c r="N42" s="187"/>
    </row>
    <row r="43" spans="1:14">
      <c r="A43" s="3" t="s">
        <v>1943</v>
      </c>
      <c r="B43" s="60"/>
      <c r="C43" s="60"/>
      <c r="D43" s="60"/>
      <c r="E43" s="60"/>
      <c r="F43" s="60"/>
      <c r="G43" s="60"/>
      <c r="H43" s="60"/>
      <c r="I43" s="3"/>
      <c r="J43" s="3"/>
      <c r="K43" s="3"/>
      <c r="L43" s="3"/>
      <c r="M43" s="3"/>
      <c r="N43" s="187"/>
    </row>
    <row r="44" spans="1:14">
      <c r="A44" s="60"/>
      <c r="B44" s="60"/>
      <c r="C44" s="60"/>
      <c r="D44" s="60"/>
      <c r="E44" s="60"/>
      <c r="F44" s="60"/>
      <c r="G44" s="60"/>
      <c r="H44" s="60"/>
      <c r="I44" s="60"/>
      <c r="J44" s="3"/>
      <c r="K44" s="3"/>
      <c r="L44" s="3"/>
      <c r="M44" s="3"/>
      <c r="N44" s="187"/>
    </row>
    <row r="45" spans="1:14" ht="46.8">
      <c r="A45" s="60"/>
      <c r="B45" s="134" t="s">
        <v>1942</v>
      </c>
      <c r="C45" s="134" t="s">
        <v>1941</v>
      </c>
      <c r="D45" s="60"/>
      <c r="E45" s="60"/>
      <c r="F45" s="60"/>
      <c r="G45" s="60"/>
      <c r="H45" s="60"/>
      <c r="I45" s="60"/>
      <c r="J45" s="3"/>
      <c r="K45" s="3"/>
      <c r="L45" s="3"/>
      <c r="M45" s="3"/>
      <c r="N45" s="187"/>
    </row>
    <row r="46" spans="1:14">
      <c r="A46" s="60"/>
      <c r="B46" s="133">
        <v>0</v>
      </c>
      <c r="C46" s="1204">
        <v>0.7</v>
      </c>
      <c r="D46" s="60"/>
      <c r="E46" s="60"/>
      <c r="F46" s="60"/>
      <c r="G46" s="60"/>
      <c r="H46" s="60"/>
      <c r="I46" s="60"/>
      <c r="J46" s="3"/>
      <c r="K46" s="3"/>
      <c r="L46" s="3"/>
      <c r="M46" s="3"/>
      <c r="N46" s="187"/>
    </row>
    <row r="47" spans="1:14">
      <c r="A47" s="60"/>
      <c r="B47" s="133">
        <v>1</v>
      </c>
      <c r="C47" s="1204">
        <v>0.5</v>
      </c>
      <c r="D47" s="60"/>
      <c r="E47" s="60"/>
      <c r="F47" s="60"/>
      <c r="G47" s="60"/>
      <c r="H47" s="60"/>
      <c r="I47" s="60"/>
      <c r="J47" s="3"/>
      <c r="K47" s="3"/>
      <c r="L47" s="3"/>
      <c r="M47" s="3"/>
      <c r="N47" s="187"/>
    </row>
    <row r="48" spans="1:14">
      <c r="A48" s="60"/>
      <c r="B48" s="133">
        <v>2</v>
      </c>
      <c r="C48" s="1204">
        <v>0.3</v>
      </c>
      <c r="D48" s="60"/>
      <c r="E48" s="60"/>
      <c r="F48" s="60"/>
      <c r="G48" s="60"/>
      <c r="H48" s="60"/>
      <c r="I48" s="60"/>
      <c r="J48" s="3"/>
      <c r="K48" s="3"/>
      <c r="L48" s="3"/>
      <c r="M48" s="3"/>
      <c r="N48" s="187"/>
    </row>
    <row r="49" spans="1:14">
      <c r="A49" s="60"/>
      <c r="B49" s="133">
        <v>3</v>
      </c>
      <c r="C49" s="1204">
        <v>-0.125</v>
      </c>
      <c r="D49" s="60"/>
      <c r="E49" s="60"/>
      <c r="F49" s="60"/>
      <c r="G49" s="60"/>
      <c r="H49" s="60"/>
      <c r="I49" s="60"/>
      <c r="J49" s="3"/>
      <c r="K49" s="3"/>
      <c r="L49" s="3"/>
      <c r="M49" s="3"/>
      <c r="N49" s="187"/>
    </row>
    <row r="50" spans="1:14">
      <c r="A50" s="60"/>
      <c r="B50" s="133">
        <v>4</v>
      </c>
      <c r="C50" s="1204">
        <v>-0.625</v>
      </c>
      <c r="D50" s="60"/>
      <c r="E50" s="60"/>
      <c r="F50" s="60"/>
      <c r="G50" s="60"/>
      <c r="H50" s="60"/>
      <c r="I50" s="60"/>
      <c r="J50" s="3"/>
      <c r="K50" s="3"/>
      <c r="L50" s="3"/>
      <c r="M50" s="3"/>
      <c r="N50" s="187"/>
    </row>
    <row r="51" spans="1:14">
      <c r="A51" s="60"/>
      <c r="B51" s="133">
        <v>5</v>
      </c>
      <c r="C51" s="1204">
        <v>-1.125</v>
      </c>
      <c r="D51" s="60"/>
      <c r="E51" s="60"/>
      <c r="F51" s="60"/>
      <c r="G51" s="60"/>
      <c r="H51" s="60"/>
      <c r="I51" s="60"/>
      <c r="J51" s="3"/>
      <c r="K51" s="3"/>
      <c r="L51" s="3"/>
      <c r="M51" s="3"/>
      <c r="N51" s="187"/>
    </row>
    <row r="52" spans="1:14">
      <c r="A52" s="60"/>
      <c r="B52" s="133">
        <v>6</v>
      </c>
      <c r="C52" s="1204">
        <v>-1.625</v>
      </c>
      <c r="D52" s="60"/>
      <c r="E52" s="60"/>
      <c r="F52" s="60"/>
      <c r="G52" s="60"/>
      <c r="H52" s="60"/>
      <c r="I52" s="60"/>
      <c r="J52" s="3"/>
      <c r="K52" s="3"/>
      <c r="L52" s="3"/>
      <c r="M52" s="3"/>
      <c r="N52" s="187"/>
    </row>
    <row r="53" spans="1:14">
      <c r="A53" s="60"/>
      <c r="B53" s="133">
        <v>7</v>
      </c>
      <c r="C53" s="1204">
        <v>-2.125</v>
      </c>
      <c r="D53" s="60"/>
      <c r="E53" s="60"/>
      <c r="F53" s="60"/>
      <c r="G53" s="60"/>
      <c r="H53" s="60"/>
      <c r="I53" s="60"/>
      <c r="J53" s="3"/>
      <c r="K53" s="3"/>
      <c r="L53" s="3"/>
      <c r="M53" s="3"/>
      <c r="N53" s="187"/>
    </row>
    <row r="54" spans="1:14">
      <c r="A54" s="60"/>
      <c r="B54" s="133">
        <v>8</v>
      </c>
      <c r="C54" s="1204">
        <v>-2.625</v>
      </c>
      <c r="D54" s="60"/>
      <c r="E54" s="60"/>
      <c r="F54" s="60"/>
      <c r="G54" s="60"/>
      <c r="H54" s="60"/>
      <c r="I54" s="60"/>
      <c r="J54" s="3"/>
      <c r="K54" s="3"/>
      <c r="L54" s="3"/>
      <c r="M54" s="3"/>
      <c r="N54" s="187"/>
    </row>
    <row r="55" spans="1:14">
      <c r="A55" s="60"/>
      <c r="B55" s="133">
        <v>9</v>
      </c>
      <c r="C55" s="1204">
        <v>-3.125</v>
      </c>
      <c r="D55" s="60"/>
      <c r="E55" s="60"/>
      <c r="F55" s="60"/>
      <c r="G55" s="60"/>
      <c r="H55" s="60"/>
      <c r="I55" s="60"/>
      <c r="J55" s="3"/>
      <c r="K55" s="3"/>
      <c r="L55" s="3"/>
      <c r="M55" s="3"/>
      <c r="N55" s="187"/>
    </row>
    <row r="56" spans="1:14">
      <c r="A56" s="60"/>
      <c r="B56" s="133" t="s">
        <v>1940</v>
      </c>
      <c r="C56" s="1204">
        <v>-3.625</v>
      </c>
      <c r="D56" s="60"/>
      <c r="E56" s="60"/>
      <c r="F56" s="60"/>
      <c r="G56" s="60"/>
      <c r="H56" s="60"/>
      <c r="I56" s="60"/>
      <c r="J56" s="3"/>
      <c r="K56" s="3"/>
      <c r="L56" s="3"/>
      <c r="M56" s="3"/>
      <c r="N56" s="187"/>
    </row>
    <row r="57" spans="1:14">
      <c r="A57" s="60"/>
      <c r="B57" s="60"/>
      <c r="C57" s="60"/>
      <c r="D57" s="60"/>
      <c r="E57" s="60"/>
      <c r="F57" s="60"/>
      <c r="G57" s="60"/>
      <c r="H57" s="60"/>
      <c r="I57" s="60"/>
      <c r="J57" s="3"/>
      <c r="K57" s="3"/>
      <c r="L57" s="3"/>
      <c r="M57" s="3"/>
      <c r="N57" s="187"/>
    </row>
    <row r="58" spans="1:14">
      <c r="A58" s="47" t="s">
        <v>1939</v>
      </c>
      <c r="B58" s="3"/>
      <c r="C58" s="3"/>
      <c r="D58" s="3"/>
      <c r="E58" s="3"/>
      <c r="F58" s="3"/>
      <c r="G58" s="3"/>
      <c r="H58" s="3"/>
      <c r="I58" s="3"/>
      <c r="J58" s="3"/>
      <c r="K58" s="3"/>
      <c r="L58" s="3"/>
      <c r="M58" s="3"/>
      <c r="N58" s="187"/>
    </row>
    <row r="59" spans="1:14">
      <c r="A59" s="3"/>
      <c r="B59" s="3"/>
      <c r="C59" s="3"/>
      <c r="D59" s="3"/>
      <c r="E59" s="3"/>
      <c r="F59" s="3"/>
      <c r="G59" s="3"/>
      <c r="H59" s="3"/>
      <c r="I59" s="3"/>
      <c r="J59" s="3"/>
      <c r="K59" s="3"/>
      <c r="L59" s="3"/>
      <c r="M59" s="3"/>
      <c r="N59" s="187"/>
    </row>
    <row r="60" spans="1:14">
      <c r="A60" s="1203" t="s">
        <v>1938</v>
      </c>
      <c r="B60" s="3"/>
      <c r="C60" s="3"/>
      <c r="D60" s="3"/>
      <c r="E60" s="3"/>
      <c r="F60" s="3"/>
      <c r="G60" s="3"/>
      <c r="H60" s="3"/>
      <c r="I60" s="3"/>
      <c r="J60" s="3"/>
      <c r="K60" s="3"/>
      <c r="L60" s="3"/>
      <c r="M60" s="3"/>
      <c r="N60" s="187"/>
    </row>
    <row r="61" spans="1:14">
      <c r="A61" s="3"/>
      <c r="B61" s="3"/>
      <c r="C61" s="3"/>
      <c r="D61" s="3"/>
      <c r="E61" s="3"/>
      <c r="F61" s="3"/>
      <c r="G61" s="3"/>
      <c r="H61" s="3"/>
      <c r="I61" s="3"/>
      <c r="J61" s="3"/>
      <c r="K61" s="3"/>
      <c r="L61" s="3"/>
      <c r="M61" s="3"/>
      <c r="N61" s="187"/>
    </row>
    <row r="62" spans="1:14">
      <c r="A62" s="1203" t="s">
        <v>1937</v>
      </c>
      <c r="B62" s="3"/>
      <c r="C62" s="3"/>
      <c r="D62" s="3"/>
      <c r="E62" s="3"/>
      <c r="F62" s="3"/>
      <c r="G62" s="3"/>
      <c r="H62" s="3"/>
      <c r="I62" s="3"/>
      <c r="J62" s="3"/>
      <c r="K62" s="3"/>
      <c r="L62" s="3"/>
      <c r="M62" s="3"/>
      <c r="N62" s="187"/>
    </row>
    <row r="63" spans="1:14">
      <c r="A63" s="3"/>
      <c r="B63" s="3"/>
      <c r="C63" s="3"/>
      <c r="D63" s="3"/>
      <c r="E63" s="3"/>
      <c r="F63" s="3"/>
      <c r="G63" s="3"/>
      <c r="H63" s="3"/>
      <c r="I63" s="3"/>
      <c r="J63" s="3"/>
      <c r="K63" s="3"/>
      <c r="L63" s="3"/>
      <c r="M63" s="3"/>
      <c r="N63" s="187"/>
    </row>
    <row r="64" spans="1:14">
      <c r="A64" s="1" t="s">
        <v>50</v>
      </c>
    </row>
    <row r="65" spans="1:13">
      <c r="B65" s="57"/>
      <c r="C65" s="57" t="s">
        <v>1936</v>
      </c>
      <c r="D65" s="57" t="s">
        <v>1935</v>
      </c>
      <c r="E65" s="57" t="s">
        <v>1934</v>
      </c>
      <c r="F65" s="57" t="s">
        <v>1933</v>
      </c>
      <c r="G65" s="57" t="s">
        <v>1932</v>
      </c>
      <c r="H65" s="57" t="s">
        <v>1931</v>
      </c>
      <c r="I65" s="1202" t="s">
        <v>1930</v>
      </c>
    </row>
    <row r="66" spans="1:13">
      <c r="B66" s="68" t="s">
        <v>350</v>
      </c>
      <c r="C66" s="57">
        <f>C38</f>
        <v>2.5</v>
      </c>
      <c r="D66" s="57">
        <f>C66*10%</f>
        <v>0.25</v>
      </c>
      <c r="E66" s="57">
        <f>2</f>
        <v>2</v>
      </c>
      <c r="F66" s="57">
        <f>C66-D66-E66</f>
        <v>0.25</v>
      </c>
      <c r="G66" s="57">
        <f>F66*80%</f>
        <v>0.2</v>
      </c>
      <c r="H66" s="57">
        <v>0</v>
      </c>
      <c r="I66" s="1202">
        <f>C66-E66-G66+H66</f>
        <v>0.3</v>
      </c>
    </row>
    <row r="67" spans="1:13">
      <c r="B67" s="68" t="s">
        <v>344</v>
      </c>
      <c r="C67" s="57">
        <f>C66</f>
        <v>2.5</v>
      </c>
      <c r="D67" s="57">
        <f>C67*10%</f>
        <v>0.25</v>
      </c>
      <c r="E67" s="57">
        <f>5</f>
        <v>5</v>
      </c>
      <c r="F67" s="57">
        <f>C67-D67-E67</f>
        <v>-2.75</v>
      </c>
      <c r="G67" s="57">
        <v>0</v>
      </c>
      <c r="H67" s="57">
        <f>(E67+D67-C67)*50%</f>
        <v>1.375</v>
      </c>
      <c r="I67" s="1202">
        <f>C67-E67-G67+H67</f>
        <v>-1.125</v>
      </c>
    </row>
    <row r="70" spans="1:13">
      <c r="A70" s="4" t="s">
        <v>1929</v>
      </c>
      <c r="B70" s="3"/>
      <c r="C70" s="3"/>
      <c r="D70" s="3"/>
      <c r="E70" s="3"/>
      <c r="F70" s="3"/>
      <c r="G70" s="3"/>
      <c r="H70" s="2"/>
      <c r="I70" s="2"/>
      <c r="J70" s="2"/>
      <c r="K70" s="2"/>
      <c r="L70" s="2"/>
      <c r="M70" s="2"/>
    </row>
  </sheetData>
  <pageMargins left="0.7" right="0.7" top="0.75" bottom="0.75" header="0.3" footer="0.3"/>
  <pageSetup orientation="portrait" horizontalDpi="0" verticalDpi="0"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42DB-2EDE-4A47-ACC0-638341FA51E9}">
  <dimension ref="A1:BW193"/>
  <sheetViews>
    <sheetView zoomScaleNormal="100" workbookViewId="0">
      <selection activeCell="B38" sqref="B38"/>
    </sheetView>
  </sheetViews>
  <sheetFormatPr defaultColWidth="9.109375" defaultRowHeight="15.75" customHeight="1"/>
  <cols>
    <col min="1" max="12" width="9.109375" style="1" customWidth="1"/>
    <col min="13" max="13" width="9.109375" customWidth="1"/>
    <col min="76" max="16384" width="9.109375" style="1"/>
  </cols>
  <sheetData>
    <row r="1" spans="1:12" ht="15.75" customHeight="1">
      <c r="A1" s="23" t="s">
        <v>1472</v>
      </c>
      <c r="B1" s="22"/>
      <c r="C1" s="5" t="s">
        <v>38</v>
      </c>
      <c r="D1" s="19"/>
      <c r="E1" s="22"/>
      <c r="F1" s="22"/>
      <c r="G1" s="22"/>
      <c r="H1" s="22"/>
      <c r="I1" s="22"/>
      <c r="J1" s="22"/>
      <c r="K1" s="22"/>
      <c r="L1" s="2"/>
    </row>
    <row r="2" spans="1:12" ht="15.75" customHeight="1">
      <c r="A2" s="23"/>
      <c r="B2" s="22"/>
      <c r="C2" s="19"/>
      <c r="D2" s="19"/>
      <c r="E2" s="22"/>
      <c r="F2" s="22"/>
      <c r="G2" s="22"/>
      <c r="H2" s="22"/>
      <c r="I2" s="22"/>
      <c r="J2" s="22"/>
      <c r="K2" s="22"/>
      <c r="L2" s="2"/>
    </row>
    <row r="3" spans="1:12" ht="15.75" customHeight="1">
      <c r="A3" s="1657" t="s">
        <v>1989</v>
      </c>
      <c r="B3" s="1909"/>
      <c r="C3" s="1909"/>
      <c r="D3" s="1909"/>
      <c r="E3" s="1909"/>
      <c r="F3" s="1909"/>
      <c r="G3" s="1909"/>
      <c r="H3" s="1909"/>
      <c r="I3" s="1909"/>
      <c r="J3" s="1909"/>
      <c r="K3" s="1909"/>
      <c r="L3" s="1909"/>
    </row>
    <row r="4" spans="1:12" ht="15.75" customHeight="1">
      <c r="A4" s="1657" t="s">
        <v>1988</v>
      </c>
      <c r="B4" s="1909"/>
      <c r="C4" s="1909"/>
      <c r="D4" s="1909"/>
      <c r="E4" s="1909"/>
      <c r="F4" s="1909"/>
      <c r="G4" s="1909"/>
      <c r="H4" s="1909"/>
      <c r="I4" s="1909"/>
      <c r="J4" s="1909"/>
      <c r="K4" s="1909"/>
      <c r="L4" s="1909"/>
    </row>
    <row r="5" spans="1:12" ht="15.75" customHeight="1">
      <c r="A5" s="21"/>
      <c r="B5" s="3"/>
      <c r="C5" s="3"/>
      <c r="D5" s="3"/>
      <c r="E5" s="3"/>
      <c r="F5" s="3"/>
      <c r="G5" s="3"/>
      <c r="H5" s="3"/>
      <c r="I5" s="3"/>
      <c r="J5" s="3"/>
      <c r="K5" s="3"/>
      <c r="L5" s="2"/>
    </row>
    <row r="6" spans="1:12" ht="15.75" customHeight="1">
      <c r="A6" s="3" t="s">
        <v>1987</v>
      </c>
      <c r="B6" s="3"/>
      <c r="C6" s="3"/>
      <c r="D6" s="3"/>
      <c r="E6" s="3"/>
      <c r="F6" s="3"/>
      <c r="G6" s="3"/>
      <c r="H6" s="3"/>
      <c r="I6" s="3"/>
      <c r="J6" s="3"/>
      <c r="K6" s="3"/>
      <c r="L6" s="2"/>
    </row>
    <row r="7" spans="1:12" ht="15.75" customHeight="1">
      <c r="A7" s="1229" t="s">
        <v>1986</v>
      </c>
      <c r="B7" s="1228"/>
      <c r="C7" s="12">
        <v>300</v>
      </c>
      <c r="D7" s="163"/>
      <c r="E7" s="3"/>
      <c r="F7" s="3"/>
      <c r="G7" s="3"/>
      <c r="H7" s="3"/>
      <c r="I7" s="3"/>
      <c r="J7" s="3"/>
      <c r="K7" s="3"/>
      <c r="L7" s="2"/>
    </row>
    <row r="8" spans="1:12" ht="15.75" customHeight="1">
      <c r="A8" s="1229" t="s">
        <v>1985</v>
      </c>
      <c r="B8" s="1228"/>
      <c r="C8" s="12">
        <v>1200</v>
      </c>
      <c r="D8" s="163"/>
      <c r="E8" s="3"/>
      <c r="F8" s="3"/>
      <c r="G8" s="3"/>
      <c r="H8" s="3"/>
      <c r="I8" s="3"/>
      <c r="J8" s="3"/>
      <c r="K8" s="3"/>
      <c r="L8" s="2"/>
    </row>
    <row r="9" spans="1:12" ht="15.75" customHeight="1">
      <c r="A9" s="3"/>
      <c r="B9" s="679"/>
      <c r="C9" s="1226"/>
      <c r="D9" s="1225"/>
      <c r="E9" s="3"/>
      <c r="F9" s="3"/>
      <c r="G9" s="3"/>
      <c r="H9" s="3"/>
      <c r="I9" s="3"/>
      <c r="J9" s="3"/>
      <c r="K9" s="3"/>
      <c r="L9" s="2"/>
    </row>
    <row r="10" spans="1:12" ht="15.75" customHeight="1">
      <c r="A10" s="3" t="s">
        <v>1984</v>
      </c>
      <c r="B10" s="679"/>
      <c r="C10" s="1226"/>
      <c r="D10" s="1225"/>
      <c r="E10" s="3"/>
      <c r="F10" s="3"/>
      <c r="G10" s="3"/>
      <c r="H10" s="3"/>
      <c r="I10" s="3"/>
      <c r="J10" s="3"/>
      <c r="K10" s="3"/>
      <c r="L10" s="2"/>
    </row>
    <row r="11" spans="1:12" ht="15.75" customHeight="1">
      <c r="A11" s="1112" t="s">
        <v>1983</v>
      </c>
      <c r="B11" s="1228"/>
      <c r="C11" s="1227">
        <v>4.2869999999999999</v>
      </c>
      <c r="D11" s="1225"/>
      <c r="E11" s="3"/>
      <c r="F11" s="3"/>
      <c r="G11" s="3"/>
      <c r="H11" s="3"/>
      <c r="I11" s="3"/>
      <c r="J11" s="3"/>
      <c r="K11" s="3"/>
      <c r="L11" s="2"/>
    </row>
    <row r="12" spans="1:12" ht="15.75" customHeight="1">
      <c r="A12" s="1112" t="s">
        <v>1982</v>
      </c>
      <c r="B12" s="1228"/>
      <c r="C12" s="1227">
        <v>1.6830000000000001</v>
      </c>
      <c r="D12" s="1225"/>
      <c r="E12" s="3"/>
      <c r="F12" s="3"/>
      <c r="G12" s="3"/>
      <c r="H12" s="3"/>
      <c r="I12" s="3"/>
      <c r="J12" s="3"/>
      <c r="K12" s="3"/>
      <c r="L12" s="2"/>
    </row>
    <row r="13" spans="1:12" ht="15.75" customHeight="1">
      <c r="A13" s="3"/>
      <c r="B13" s="679"/>
      <c r="C13" s="1226"/>
      <c r="D13" s="1225"/>
      <c r="E13" s="3"/>
      <c r="F13" s="3"/>
      <c r="G13" s="3"/>
      <c r="H13" s="3"/>
      <c r="I13" s="3"/>
      <c r="J13" s="3"/>
      <c r="K13" s="3"/>
      <c r="L13" s="2"/>
    </row>
    <row r="14" spans="1:12" ht="15.75" customHeight="1">
      <c r="A14" s="3" t="s">
        <v>80</v>
      </c>
      <c r="B14" s="3" t="s">
        <v>1981</v>
      </c>
      <c r="C14" s="3"/>
      <c r="D14" s="3"/>
      <c r="E14" s="3"/>
      <c r="F14" s="3"/>
      <c r="G14" s="3"/>
      <c r="H14" s="3"/>
      <c r="I14" s="3"/>
      <c r="J14" s="3"/>
      <c r="K14" s="3"/>
      <c r="L14" s="2"/>
    </row>
    <row r="15" spans="1:12" ht="15.75" customHeight="1">
      <c r="A15" s="5"/>
      <c r="B15" s="5" t="s">
        <v>64</v>
      </c>
      <c r="C15" s="5"/>
      <c r="D15" s="4"/>
      <c r="E15" s="4"/>
      <c r="F15" s="4"/>
      <c r="G15" s="4"/>
      <c r="H15" s="3"/>
      <c r="I15" s="3"/>
      <c r="J15" s="2"/>
      <c r="K15" s="3"/>
      <c r="L15" s="2"/>
    </row>
    <row r="16" spans="1:12" ht="15.75" customHeight="1">
      <c r="A16"/>
      <c r="B16"/>
      <c r="C16"/>
      <c r="D16"/>
      <c r="E16"/>
      <c r="F16"/>
      <c r="G16"/>
      <c r="H16"/>
      <c r="I16"/>
      <c r="J16"/>
      <c r="K16"/>
      <c r="L16"/>
    </row>
    <row r="17" spans="1:12" ht="15.75" customHeight="1">
      <c r="A17" s="56" t="s">
        <v>1980</v>
      </c>
      <c r="B17" s="56">
        <f>(LN((C8/C7)^2+1))^0.5</f>
        <v>1.6832151805566085</v>
      </c>
      <c r="C17"/>
      <c r="D17"/>
      <c r="E17"/>
      <c r="F17"/>
      <c r="G17"/>
      <c r="H17"/>
      <c r="I17"/>
      <c r="J17"/>
      <c r="K17"/>
      <c r="L17"/>
    </row>
    <row r="18" spans="1:12" ht="15.75" customHeight="1">
      <c r="A18" s="56" t="s">
        <v>442</v>
      </c>
      <c r="B18" s="56">
        <f>LN(C7)-B17^2/2</f>
        <v>4.2871758026280933</v>
      </c>
      <c r="C18"/>
      <c r="D18"/>
      <c r="E18"/>
      <c r="F18"/>
      <c r="G18"/>
      <c r="H18"/>
      <c r="I18"/>
      <c r="J18"/>
      <c r="K18"/>
      <c r="L18"/>
    </row>
    <row r="19" spans="1:12" ht="15.75" customHeight="1">
      <c r="A19"/>
      <c r="B19"/>
      <c r="C19"/>
      <c r="D19"/>
      <c r="E19"/>
      <c r="F19"/>
      <c r="G19"/>
      <c r="H19"/>
      <c r="I19"/>
      <c r="J19"/>
      <c r="K19"/>
      <c r="L19"/>
    </row>
    <row r="20" spans="1:12" ht="15.75" customHeight="1">
      <c r="A20" s="3" t="s">
        <v>1979</v>
      </c>
      <c r="B20" s="3"/>
      <c r="C20" s="673"/>
      <c r="D20" s="3"/>
      <c r="E20" s="3"/>
      <c r="F20" s="3"/>
      <c r="G20" s="3"/>
      <c r="H20" s="3"/>
      <c r="I20" s="3"/>
      <c r="J20" s="3"/>
      <c r="K20" s="74"/>
      <c r="L20" s="3"/>
    </row>
    <row r="21" spans="1:12" ht="15.75" customHeight="1">
      <c r="A21" s="3"/>
      <c r="B21" s="3"/>
      <c r="C21" s="3"/>
      <c r="D21" s="3"/>
      <c r="E21" s="3"/>
      <c r="F21" s="3"/>
      <c r="G21" s="3"/>
      <c r="H21" s="3"/>
      <c r="I21" s="3"/>
      <c r="J21" s="3"/>
      <c r="K21" s="1224"/>
      <c r="L21" s="3"/>
    </row>
    <row r="22" spans="1:12" ht="15.75" customHeight="1">
      <c r="A22" s="3"/>
      <c r="B22" s="3"/>
      <c r="C22" s="1196"/>
      <c r="D22" s="3"/>
      <c r="E22" s="3"/>
      <c r="F22" s="3"/>
      <c r="G22" s="3"/>
      <c r="H22" s="3"/>
      <c r="I22" s="3"/>
      <c r="J22" s="3"/>
      <c r="K22" s="1224"/>
      <c r="L22" s="3"/>
    </row>
    <row r="23" spans="1:12" ht="15.75" customHeight="1">
      <c r="A23" s="3"/>
      <c r="B23" s="3"/>
      <c r="C23" s="3"/>
      <c r="D23" s="3"/>
      <c r="E23" s="3"/>
      <c r="F23" s="3"/>
      <c r="G23" s="3"/>
      <c r="H23" s="3"/>
      <c r="I23" s="3"/>
      <c r="J23" s="3"/>
      <c r="K23" s="75"/>
      <c r="L23" s="75"/>
    </row>
    <row r="24" spans="1:12" ht="15.75" customHeight="1">
      <c r="A24" s="3" t="s">
        <v>1978</v>
      </c>
      <c r="B24" s="3"/>
      <c r="C24" s="3"/>
      <c r="D24" s="3"/>
      <c r="E24" s="3"/>
      <c r="F24" s="3"/>
      <c r="G24" s="3"/>
      <c r="H24" s="3"/>
      <c r="I24" s="3"/>
      <c r="J24" s="3"/>
      <c r="K24" s="74"/>
      <c r="L24" s="74"/>
    </row>
    <row r="25" spans="1:12" ht="15.75" customHeight="1">
      <c r="A25" s="3" t="s">
        <v>1977</v>
      </c>
      <c r="B25" s="49"/>
      <c r="C25" s="72"/>
      <c r="D25" s="3"/>
      <c r="E25" s="3"/>
      <c r="F25" s="3"/>
      <c r="G25" s="3"/>
      <c r="H25" s="3"/>
      <c r="I25" s="3"/>
      <c r="J25" s="3"/>
      <c r="K25" s="3"/>
      <c r="L25" s="73"/>
    </row>
    <row r="26" spans="1:12" ht="15.75" customHeight="1">
      <c r="A26" s="3" t="s">
        <v>1976</v>
      </c>
      <c r="B26" s="49"/>
      <c r="C26" s="72"/>
      <c r="D26" s="3"/>
      <c r="E26" s="3"/>
      <c r="F26" s="3"/>
      <c r="G26" s="3"/>
      <c r="H26" s="3"/>
      <c r="I26" s="3"/>
      <c r="J26" s="3"/>
      <c r="K26" s="3"/>
      <c r="L26" s="2"/>
    </row>
    <row r="27" spans="1:12" ht="15.75" customHeight="1">
      <c r="A27" s="3"/>
      <c r="B27" s="49"/>
      <c r="C27" s="72"/>
      <c r="D27" s="3"/>
      <c r="E27" s="3"/>
      <c r="F27" s="3"/>
      <c r="G27" s="3"/>
      <c r="H27" s="3"/>
      <c r="I27" s="3"/>
      <c r="J27" s="3"/>
      <c r="K27" s="3"/>
      <c r="L27" s="2"/>
    </row>
    <row r="28" spans="1:12" ht="32.25" customHeight="1">
      <c r="A28" s="3"/>
      <c r="B28" s="134" t="s">
        <v>1965</v>
      </c>
      <c r="C28" s="1907" t="s">
        <v>1975</v>
      </c>
      <c r="D28" s="1908"/>
      <c r="E28" s="3"/>
      <c r="F28" s="3"/>
      <c r="G28" s="3"/>
      <c r="H28" s="3"/>
      <c r="I28" s="3"/>
      <c r="J28" s="3"/>
      <c r="K28" s="3"/>
      <c r="L28" s="2"/>
    </row>
    <row r="29" spans="1:12" ht="15.75" customHeight="1">
      <c r="A29" s="3"/>
      <c r="B29" s="1223">
        <v>500</v>
      </c>
      <c r="C29" s="1905">
        <v>1</v>
      </c>
      <c r="D29" s="1906"/>
      <c r="E29" s="3"/>
      <c r="F29" s="3"/>
      <c r="G29" s="3"/>
      <c r="H29" s="3"/>
      <c r="I29" s="3"/>
      <c r="J29" s="3"/>
      <c r="K29" s="3"/>
      <c r="L29" s="2"/>
    </row>
    <row r="30" spans="1:12" ht="15.75" customHeight="1">
      <c r="A30" s="3"/>
      <c r="B30" s="1223">
        <v>1000</v>
      </c>
      <c r="C30" s="1905">
        <v>1.28</v>
      </c>
      <c r="D30" s="1906"/>
      <c r="E30" s="3"/>
      <c r="F30" s="3"/>
      <c r="G30" s="3"/>
      <c r="H30" s="3"/>
      <c r="I30" s="3"/>
      <c r="J30" s="3"/>
      <c r="K30" s="3"/>
      <c r="L30" s="2"/>
    </row>
    <row r="31" spans="1:12" ht="15.75" customHeight="1">
      <c r="A31" s="3"/>
      <c r="B31" s="1223">
        <v>1500</v>
      </c>
      <c r="C31" s="1905">
        <v>1.44</v>
      </c>
      <c r="D31" s="1906"/>
      <c r="E31" s="3"/>
      <c r="F31" s="3"/>
      <c r="G31" s="3"/>
      <c r="H31" s="3"/>
      <c r="I31" s="3"/>
      <c r="J31" s="3"/>
      <c r="K31" s="3"/>
      <c r="L31" s="2"/>
    </row>
    <row r="32" spans="1:12" ht="15.75" customHeight="1">
      <c r="A32" s="3"/>
      <c r="B32" s="1223">
        <v>2000</v>
      </c>
      <c r="C32" s="1905">
        <v>1.53</v>
      </c>
      <c r="D32" s="1906"/>
      <c r="E32" s="3"/>
      <c r="F32" s="3"/>
      <c r="G32" s="3"/>
      <c r="H32" s="3"/>
      <c r="I32" s="3"/>
      <c r="J32" s="3"/>
      <c r="K32" s="3"/>
      <c r="L32" s="2"/>
    </row>
    <row r="33" spans="1:12" ht="15.75" customHeight="1">
      <c r="A33" s="3"/>
      <c r="B33" s="3"/>
      <c r="C33" s="3"/>
      <c r="D33" s="3"/>
      <c r="E33" s="3"/>
      <c r="F33" s="3"/>
      <c r="G33" s="3"/>
      <c r="H33" s="3"/>
      <c r="I33" s="3"/>
      <c r="J33" s="3"/>
      <c r="K33" s="3"/>
      <c r="L33" s="2"/>
    </row>
    <row r="34" spans="1:12" ht="15.75" customHeight="1">
      <c r="A34" s="3" t="s">
        <v>9</v>
      </c>
      <c r="B34" s="3" t="s">
        <v>1974</v>
      </c>
      <c r="C34" s="3"/>
      <c r="D34" s="3"/>
      <c r="E34" s="3"/>
      <c r="F34" s="3"/>
      <c r="G34" s="3"/>
      <c r="H34" s="3"/>
      <c r="I34" s="3"/>
      <c r="J34" s="3"/>
      <c r="K34" s="3"/>
      <c r="L34" s="2"/>
    </row>
    <row r="35" spans="1:12" ht="15.75" customHeight="1">
      <c r="A35" s="5"/>
      <c r="B35" s="5" t="s">
        <v>64</v>
      </c>
      <c r="C35" s="5"/>
      <c r="D35" s="4"/>
      <c r="E35" s="4"/>
      <c r="F35" s="4"/>
      <c r="G35" s="4"/>
      <c r="H35" s="3"/>
      <c r="I35" s="3"/>
      <c r="J35" s="2"/>
      <c r="K35" s="3"/>
      <c r="L35" s="2"/>
    </row>
    <row r="36" spans="1:12" ht="15.75" customHeight="1">
      <c r="A36"/>
      <c r="B36"/>
      <c r="C36"/>
      <c r="D36"/>
      <c r="E36"/>
      <c r="F36"/>
      <c r="G36"/>
      <c r="H36"/>
      <c r="I36"/>
      <c r="J36"/>
      <c r="K36"/>
      <c r="L36"/>
    </row>
    <row r="37" spans="1:12" ht="15.75" customHeight="1">
      <c r="A37" s="57"/>
      <c r="B37" s="57" t="s">
        <v>1684</v>
      </c>
      <c r="C37" s="57" t="s">
        <v>1973</v>
      </c>
      <c r="D37"/>
      <c r="E37"/>
      <c r="F37"/>
      <c r="G37"/>
      <c r="H37"/>
      <c r="I37"/>
      <c r="J37"/>
      <c r="K37"/>
      <c r="L37"/>
    </row>
    <row r="38" spans="1:12" ht="15.75" customHeight="1">
      <c r="A38" s="57"/>
      <c r="B38" s="57">
        <v>500</v>
      </c>
      <c r="C38" s="57">
        <f>EXP($C$11+($C$12^2)/2)*_xlfn.NORM.S.DIST((LN(B38)-$C$11-$C$12^2)/$C$12,TRUE)+B38*(1-_xlfn.NORM.S.DIST((LN(B38)-$C$11)/$C$12,TRUE))</f>
        <v>151.59119202513781</v>
      </c>
      <c r="D38"/>
      <c r="E38"/>
      <c r="F38"/>
      <c r="G38"/>
      <c r="H38"/>
      <c r="I38"/>
      <c r="J38"/>
      <c r="K38"/>
      <c r="L38"/>
    </row>
    <row r="39" spans="1:12" ht="15.75" customHeight="1">
      <c r="A39" s="57"/>
      <c r="B39" s="57">
        <v>1500</v>
      </c>
      <c r="C39" s="57">
        <f>EXP($C$11+($C$12^2)/2)*_xlfn.NORM.S.DIST((LN(B39)-$C$11-$C$12^2)/$C$12,TRUE)+B39*(1-_xlfn.NORM.S.DIST((LN(B39)-$C$11)/$C$12,TRUE))</f>
        <v>217.77792565600814</v>
      </c>
      <c r="D39"/>
      <c r="E39"/>
      <c r="F39"/>
      <c r="G39"/>
      <c r="H39"/>
      <c r="I39"/>
      <c r="J39"/>
      <c r="K39"/>
      <c r="L39"/>
    </row>
    <row r="40" spans="1:12" ht="15.75" customHeight="1">
      <c r="A40" s="57"/>
      <c r="B40" s="57"/>
      <c r="C40" s="57"/>
      <c r="D40"/>
      <c r="E40"/>
      <c r="F40"/>
      <c r="G40"/>
      <c r="H40"/>
      <c r="I40"/>
      <c r="J40"/>
      <c r="K40"/>
      <c r="L40"/>
    </row>
    <row r="41" spans="1:12" ht="15.75" customHeight="1">
      <c r="A41" s="56"/>
      <c r="B41" s="1222" t="s">
        <v>1972</v>
      </c>
      <c r="C41" s="1221">
        <f>C39/C38</f>
        <v>1.4366133199869213</v>
      </c>
      <c r="D41"/>
      <c r="E41"/>
      <c r="F41"/>
      <c r="G41"/>
      <c r="H41"/>
      <c r="I41"/>
      <c r="J41"/>
      <c r="K41"/>
      <c r="L41"/>
    </row>
    <row r="42" spans="1:12" ht="15.75" customHeight="1">
      <c r="A42"/>
      <c r="B42"/>
      <c r="C42"/>
      <c r="D42"/>
      <c r="E42"/>
      <c r="F42"/>
      <c r="G42"/>
      <c r="H42"/>
      <c r="I42"/>
      <c r="J42"/>
      <c r="K42"/>
      <c r="L42"/>
    </row>
    <row r="43" spans="1:12" ht="15.75" customHeight="1">
      <c r="A43" s="3" t="s">
        <v>1971</v>
      </c>
      <c r="B43" s="3"/>
      <c r="C43" s="3"/>
      <c r="D43" s="3"/>
      <c r="E43" s="3"/>
      <c r="F43" s="3"/>
      <c r="G43" s="3"/>
      <c r="H43" s="3"/>
      <c r="I43" s="3"/>
      <c r="J43" s="3"/>
      <c r="K43" s="3"/>
      <c r="L43" s="2"/>
    </row>
    <row r="44" spans="1:12" ht="15.75" customHeight="1">
      <c r="A44" s="3" t="s">
        <v>1970</v>
      </c>
      <c r="B44" s="3"/>
      <c r="C44" s="3"/>
      <c r="D44" s="3"/>
      <c r="E44" s="3"/>
      <c r="F44" s="3"/>
      <c r="G44" s="3"/>
      <c r="H44" s="3"/>
      <c r="I44" s="3"/>
      <c r="J44" s="3"/>
      <c r="K44" s="3"/>
      <c r="L44" s="2"/>
    </row>
    <row r="45" spans="1:12" ht="15.75" customHeight="1">
      <c r="A45" s="3"/>
      <c r="B45" s="3"/>
      <c r="C45" s="3"/>
      <c r="D45" s="3"/>
      <c r="E45" s="3"/>
      <c r="F45" s="3"/>
      <c r="G45" s="3"/>
      <c r="H45" s="3"/>
      <c r="I45" s="3"/>
      <c r="J45" s="3"/>
      <c r="K45" s="3"/>
      <c r="L45" s="2"/>
    </row>
    <row r="46" spans="1:12" ht="30.75" customHeight="1">
      <c r="A46" s="3"/>
      <c r="B46" s="3"/>
      <c r="C46" s="1907" t="s">
        <v>1967</v>
      </c>
      <c r="D46" s="1908"/>
      <c r="E46" s="1907" t="s">
        <v>1966</v>
      </c>
      <c r="F46" s="1908"/>
      <c r="G46" s="1907" t="s">
        <v>1965</v>
      </c>
      <c r="H46" s="1908"/>
      <c r="I46" s="3"/>
      <c r="J46" s="3"/>
      <c r="K46" s="3"/>
      <c r="L46" s="2"/>
    </row>
    <row r="47" spans="1:12" ht="15.75" customHeight="1">
      <c r="A47" s="3"/>
      <c r="B47" s="3"/>
      <c r="C47" s="1903">
        <v>2000</v>
      </c>
      <c r="D47" s="1904"/>
      <c r="E47" s="1903">
        <v>0</v>
      </c>
      <c r="F47" s="1904"/>
      <c r="G47" s="1903">
        <v>1000</v>
      </c>
      <c r="H47" s="1904"/>
      <c r="I47" s="3"/>
      <c r="J47" s="3"/>
      <c r="K47" s="3"/>
      <c r="L47" s="2"/>
    </row>
    <row r="48" spans="1:12" ht="15.75" customHeight="1">
      <c r="A48" s="3"/>
      <c r="B48" s="3"/>
      <c r="C48" s="1903">
        <v>2500</v>
      </c>
      <c r="D48" s="1904"/>
      <c r="E48" s="1903">
        <v>0</v>
      </c>
      <c r="F48" s="1904"/>
      <c r="G48" s="1903">
        <v>1500</v>
      </c>
      <c r="H48" s="1904"/>
      <c r="I48" s="3"/>
      <c r="J48" s="3"/>
      <c r="K48" s="3"/>
      <c r="L48" s="2"/>
    </row>
    <row r="49" spans="1:12" ht="15.75" customHeight="1">
      <c r="A49" s="3"/>
      <c r="B49" s="3"/>
      <c r="C49" s="1903">
        <v>4000</v>
      </c>
      <c r="D49" s="1904"/>
      <c r="E49" s="1903">
        <v>500</v>
      </c>
      <c r="F49" s="1904"/>
      <c r="G49" s="1903">
        <v>1000</v>
      </c>
      <c r="H49" s="1904"/>
      <c r="I49" s="3"/>
      <c r="J49" s="3"/>
      <c r="K49" s="3"/>
      <c r="L49" s="2"/>
    </row>
    <row r="50" spans="1:12" ht="15.75" customHeight="1">
      <c r="A50" s="3"/>
      <c r="B50" s="3"/>
      <c r="C50" s="1903">
        <v>4500</v>
      </c>
      <c r="D50" s="1904"/>
      <c r="E50" s="1903">
        <v>500</v>
      </c>
      <c r="F50" s="1904"/>
      <c r="G50" s="1903">
        <v>1500</v>
      </c>
      <c r="H50" s="1904"/>
      <c r="I50" s="3"/>
      <c r="J50" s="3"/>
      <c r="K50" s="3"/>
      <c r="L50" s="2"/>
    </row>
    <row r="51" spans="1:12" ht="15.75" customHeight="1">
      <c r="A51" s="3"/>
      <c r="B51" s="3"/>
      <c r="C51" s="3"/>
      <c r="D51" s="3"/>
      <c r="E51" s="3"/>
      <c r="F51" s="3"/>
      <c r="G51" s="3"/>
      <c r="H51" s="3"/>
      <c r="I51" s="3"/>
      <c r="J51" s="3"/>
      <c r="K51" s="3"/>
      <c r="L51" s="2"/>
    </row>
    <row r="52" spans="1:12" ht="15.75" customHeight="1">
      <c r="A52" s="3" t="s">
        <v>1969</v>
      </c>
      <c r="B52" s="3"/>
      <c r="C52" s="3"/>
      <c r="D52" s="3"/>
      <c r="E52" s="3"/>
      <c r="F52" s="3"/>
      <c r="G52" s="3"/>
      <c r="H52" s="3"/>
      <c r="I52" s="3"/>
      <c r="J52" s="3"/>
      <c r="K52" s="3"/>
      <c r="L52" s="2"/>
    </row>
    <row r="53" spans="1:12" ht="15.75" customHeight="1">
      <c r="A53" s="3"/>
      <c r="B53" s="3"/>
      <c r="C53" s="3"/>
      <c r="D53" s="3"/>
      <c r="E53" s="3"/>
      <c r="F53" s="3"/>
      <c r="G53" s="3"/>
      <c r="H53" s="3"/>
      <c r="I53" s="3"/>
      <c r="J53" s="3"/>
      <c r="K53" s="3"/>
      <c r="L53" s="2"/>
    </row>
    <row r="54" spans="1:12" ht="15.75" customHeight="1">
      <c r="A54" s="3" t="s">
        <v>7</v>
      </c>
      <c r="B54" s="3" t="s">
        <v>1968</v>
      </c>
      <c r="C54" s="3"/>
      <c r="D54" s="3"/>
      <c r="E54" s="3"/>
      <c r="F54" s="3"/>
      <c r="G54" s="3"/>
      <c r="H54" s="3"/>
      <c r="I54" s="3"/>
      <c r="J54" s="3"/>
      <c r="K54" s="3"/>
      <c r="L54" s="2"/>
    </row>
    <row r="55" spans="1:12" ht="15.75" customHeight="1">
      <c r="A55" s="5"/>
      <c r="B55" s="5" t="s">
        <v>64</v>
      </c>
      <c r="C55" s="5"/>
      <c r="D55" s="4"/>
      <c r="E55" s="4"/>
      <c r="F55" s="4"/>
      <c r="G55" s="4"/>
      <c r="H55" s="3"/>
      <c r="I55" s="3"/>
      <c r="J55" s="2"/>
      <c r="K55" s="3"/>
      <c r="L55" s="2"/>
    </row>
    <row r="56" spans="1:12" customFormat="1" ht="15.75" customHeight="1"/>
    <row r="57" spans="1:12" customFormat="1" ht="28.5" customHeight="1">
      <c r="A57" s="1220" t="s">
        <v>1965</v>
      </c>
      <c r="B57" s="1211" t="s">
        <v>589</v>
      </c>
      <c r="C57" s="37"/>
      <c r="D57" s="1211" t="s">
        <v>1967</v>
      </c>
      <c r="E57" s="1211" t="s">
        <v>1966</v>
      </c>
      <c r="F57" s="1211" t="s">
        <v>1965</v>
      </c>
      <c r="G57" s="1211" t="s">
        <v>1964</v>
      </c>
      <c r="H57" s="1211" t="s">
        <v>1963</v>
      </c>
      <c r="I57" s="87"/>
      <c r="J57" s="87"/>
      <c r="K57" s="87"/>
    </row>
    <row r="58" spans="1:12" customFormat="1" ht="15.75" customHeight="1">
      <c r="A58" s="1216">
        <v>0</v>
      </c>
      <c r="B58" s="1215">
        <v>0</v>
      </c>
      <c r="C58" s="37"/>
      <c r="D58" s="1219">
        <f>C47</f>
        <v>2000</v>
      </c>
      <c r="E58" s="1219">
        <f>E47</f>
        <v>0</v>
      </c>
      <c r="F58" s="1208">
        <f>G47</f>
        <v>1000</v>
      </c>
      <c r="G58" s="1218">
        <f>(VLOOKUP(MIN(E58+F58,E58+$B$65),$A$58:$B$62,2)-VLOOKUP(MIN(E58+F58,E58+$A$65),$A$58:$B$62,2))/(VLOOKUP(E58+F58,$A$58:$B$62,2)-VLOOKUP(E58,$A$58:$B$62,2))</f>
        <v>0.21875000000000003</v>
      </c>
      <c r="H58" s="1217">
        <f>G58*D58</f>
        <v>437.50000000000006</v>
      </c>
      <c r="I58" s="87"/>
      <c r="J58" s="87"/>
      <c r="K58" s="87"/>
    </row>
    <row r="59" spans="1:12" customFormat="1" ht="15.75" customHeight="1">
      <c r="A59" s="1216">
        <f t="shared" ref="A59:B62" si="0">B29</f>
        <v>500</v>
      </c>
      <c r="B59" s="1215">
        <f t="shared" si="0"/>
        <v>1</v>
      </c>
      <c r="C59" s="37"/>
      <c r="D59" s="1219">
        <f>C48</f>
        <v>2500</v>
      </c>
      <c r="E59" s="1219">
        <f>E48</f>
        <v>0</v>
      </c>
      <c r="F59" s="1208">
        <f>G48</f>
        <v>1500</v>
      </c>
      <c r="G59" s="1218">
        <f>(VLOOKUP(MIN(E59+F59,E59+$B$65),$A$58:$B$62,2)-VLOOKUP(MIN(E59+F59,E59+$A$65),$A$58:$B$62,2))/(VLOOKUP(E59+F59,$A$58:$B$62,2)-VLOOKUP(E59,$A$58:$B$62,2))</f>
        <v>0.30555555555555552</v>
      </c>
      <c r="H59" s="1217">
        <f>G59*D59</f>
        <v>763.8888888888888</v>
      </c>
      <c r="I59" s="87"/>
      <c r="J59" s="87"/>
      <c r="K59" s="87"/>
    </row>
    <row r="60" spans="1:12" customFormat="1" ht="15.75" customHeight="1">
      <c r="A60" s="1216">
        <f t="shared" si="0"/>
        <v>1000</v>
      </c>
      <c r="B60" s="1215">
        <f t="shared" si="0"/>
        <v>1.28</v>
      </c>
      <c r="C60" s="37"/>
      <c r="D60" s="1219">
        <f>C49</f>
        <v>4000</v>
      </c>
      <c r="E60" s="1219">
        <f>E49</f>
        <v>500</v>
      </c>
      <c r="F60" s="1208">
        <f>G49</f>
        <v>1000</v>
      </c>
      <c r="G60" s="1218">
        <f>(VLOOKUP(MIN(E60+F60,E60+$B$65),$A$58:$B$62,2)-VLOOKUP(MIN(E60+F60,E60+$A$65),$A$58:$B$62,2))/(VLOOKUP(E60+F60,$A$58:$B$62,2)-VLOOKUP(E60,$A$58:$B$62,2))</f>
        <v>0.36363636363636348</v>
      </c>
      <c r="H60" s="1217">
        <f>G60*D60</f>
        <v>1454.5454545454538</v>
      </c>
      <c r="I60" s="87"/>
      <c r="J60" s="87"/>
      <c r="K60" s="87"/>
    </row>
    <row r="61" spans="1:12" customFormat="1" ht="15.75" customHeight="1">
      <c r="A61" s="1216">
        <f t="shared" si="0"/>
        <v>1500</v>
      </c>
      <c r="B61" s="1215">
        <f t="shared" si="0"/>
        <v>1.44</v>
      </c>
      <c r="C61" s="37"/>
      <c r="D61" s="1219">
        <f>C50</f>
        <v>4500</v>
      </c>
      <c r="E61" s="1219">
        <f>E50</f>
        <v>500</v>
      </c>
      <c r="F61" s="1208">
        <f>G50</f>
        <v>1500</v>
      </c>
      <c r="G61" s="1218">
        <f>(VLOOKUP(MIN(E61+F61,E61+$B$65),$A$58:$B$62,2)-VLOOKUP(MIN(E61+F61,E61+$A$65),$A$58:$B$62,2))/(VLOOKUP(E61+F61,$A$58:$B$62,2)-VLOOKUP(E61,$A$58:$B$62,2))</f>
        <v>0.47169811320754712</v>
      </c>
      <c r="H61" s="1217">
        <f>G61*D61</f>
        <v>2122.6415094339623</v>
      </c>
      <c r="I61" s="87"/>
      <c r="J61" s="87"/>
      <c r="K61" s="87"/>
    </row>
    <row r="62" spans="1:12" customFormat="1" ht="15.75" customHeight="1">
      <c r="A62" s="1216">
        <f t="shared" si="0"/>
        <v>2000</v>
      </c>
      <c r="B62" s="1215">
        <f t="shared" si="0"/>
        <v>1.53</v>
      </c>
      <c r="C62" s="37"/>
      <c r="D62" s="1143"/>
      <c r="E62" s="1143"/>
      <c r="F62" s="1143"/>
      <c r="G62" s="1213" t="s">
        <v>98</v>
      </c>
      <c r="H62" s="1214">
        <f>SUM(H58:H61)</f>
        <v>4778.5758528683054</v>
      </c>
      <c r="I62" s="87"/>
      <c r="J62" s="87"/>
      <c r="K62" s="87"/>
    </row>
    <row r="63" spans="1:12" customFormat="1" ht="15.75" customHeight="1">
      <c r="A63" s="37"/>
      <c r="B63" s="37"/>
      <c r="C63" s="37"/>
      <c r="D63" s="37"/>
      <c r="E63" s="37"/>
      <c r="F63" s="1143"/>
      <c r="G63" s="1213" t="s">
        <v>10</v>
      </c>
      <c r="H63" s="1212">
        <v>0.55000000000000004</v>
      </c>
      <c r="I63" s="87"/>
      <c r="J63" s="87"/>
      <c r="K63" s="87"/>
    </row>
    <row r="64" spans="1:12" customFormat="1" ht="38.25" customHeight="1">
      <c r="A64" s="1211" t="s">
        <v>1962</v>
      </c>
      <c r="B64" s="1211" t="s">
        <v>1961</v>
      </c>
      <c r="C64" s="37"/>
      <c r="D64" s="37"/>
      <c r="E64" s="37"/>
      <c r="F64" s="170"/>
      <c r="G64" s="1210" t="s">
        <v>1960</v>
      </c>
      <c r="H64" s="1209">
        <f>H62*H63</f>
        <v>2628.2167190775681</v>
      </c>
      <c r="I64" s="87"/>
      <c r="J64" s="87"/>
      <c r="K64" s="87"/>
    </row>
    <row r="65" spans="1:11" customFormat="1" ht="15.75" customHeight="1">
      <c r="A65" s="1208">
        <v>500</v>
      </c>
      <c r="B65" s="1208">
        <f>1000+A65</f>
        <v>1500</v>
      </c>
      <c r="C65" s="1143"/>
      <c r="D65" s="37"/>
      <c r="E65" s="37"/>
      <c r="F65" s="1143"/>
      <c r="G65" s="1143"/>
      <c r="H65" s="1143"/>
      <c r="I65" s="87"/>
      <c r="J65" s="87"/>
      <c r="K65" s="87"/>
    </row>
    <row r="66" spans="1:11" customFormat="1" ht="15.75" customHeight="1"/>
    <row r="67" spans="1:11" customFormat="1" ht="15.75" customHeight="1"/>
    <row r="68" spans="1:11" customFormat="1" ht="15.75" customHeight="1"/>
    <row r="69" spans="1:11" customFormat="1" ht="15.75" customHeight="1"/>
    <row r="70" spans="1:11" customFormat="1" ht="15.75" customHeight="1"/>
    <row r="71" spans="1:11" customFormat="1" ht="15.75" customHeight="1"/>
    <row r="72" spans="1:11" customFormat="1" ht="15.75" customHeight="1"/>
    <row r="73" spans="1:11" customFormat="1" ht="15.75" customHeight="1"/>
    <row r="74" spans="1:11" customFormat="1" ht="15.75" customHeight="1"/>
    <row r="75" spans="1:11" customFormat="1" ht="15.75" customHeight="1"/>
    <row r="76" spans="1:11" customFormat="1" ht="15.75" customHeight="1"/>
    <row r="77" spans="1:11" customFormat="1" ht="15.75" customHeight="1"/>
    <row r="78" spans="1:11" customFormat="1" ht="15.75" customHeight="1"/>
    <row r="79" spans="1:11" customFormat="1" ht="15.75" customHeight="1"/>
    <row r="80" spans="1:11" customFormat="1" ht="15.75" customHeight="1"/>
    <row r="81" customFormat="1" ht="15.75" customHeight="1"/>
    <row r="82" customFormat="1" ht="15.75" customHeight="1"/>
    <row r="83" customFormat="1" ht="15.75" customHeight="1"/>
    <row r="84" customFormat="1" ht="15.75" customHeight="1"/>
    <row r="85" customFormat="1" ht="15.75" customHeight="1"/>
    <row r="86" customFormat="1" ht="15.75" customHeight="1"/>
    <row r="87" customFormat="1" ht="15.75" customHeight="1"/>
    <row r="88" customFormat="1" ht="15.75" customHeight="1"/>
    <row r="89" customFormat="1" ht="15.75" customHeight="1"/>
    <row r="90" customFormat="1" ht="15.75" customHeight="1"/>
    <row r="91" customFormat="1" ht="15.75" customHeight="1"/>
    <row r="92" customFormat="1" ht="15.75" customHeight="1"/>
    <row r="93" customFormat="1" ht="15.75" customHeight="1"/>
    <row r="94" customFormat="1" ht="15.75" customHeight="1"/>
    <row r="95" customFormat="1" ht="15.75" customHeight="1"/>
    <row r="96" customFormat="1" ht="15.75" customHeight="1"/>
    <row r="97" customFormat="1" ht="15.75" customHeight="1"/>
    <row r="98" customFormat="1" ht="15.75" customHeight="1"/>
    <row r="99" customFormat="1" ht="15.75" customHeight="1"/>
    <row r="100" customFormat="1" ht="15.75" customHeight="1"/>
    <row r="101" customFormat="1" ht="15.75" customHeight="1"/>
    <row r="102" customFormat="1" ht="15.75" customHeight="1"/>
    <row r="103" customFormat="1" ht="15.75" customHeight="1"/>
    <row r="104" customFormat="1" ht="15.75" customHeight="1"/>
    <row r="105" customFormat="1" ht="15.75" customHeight="1"/>
    <row r="106" customFormat="1" ht="15.75" customHeight="1"/>
    <row r="107" customFormat="1" ht="15.75" customHeight="1"/>
    <row r="108" customFormat="1" ht="15.75" customHeight="1"/>
    <row r="109" customFormat="1" ht="15.75" customHeight="1"/>
    <row r="110" customFormat="1" ht="15.75" customHeight="1"/>
    <row r="111" customFormat="1" ht="15.75" customHeight="1"/>
    <row r="112" customFormat="1" ht="15.75" customHeight="1"/>
    <row r="113" customFormat="1" ht="15.75" customHeight="1"/>
    <row r="114" customFormat="1" ht="15.75" customHeight="1"/>
    <row r="115" customFormat="1" ht="15.75" customHeight="1"/>
    <row r="116" customFormat="1" ht="15.75" customHeight="1"/>
    <row r="117" customFormat="1" ht="15.75" customHeight="1"/>
    <row r="118" customFormat="1" ht="15.75" customHeight="1"/>
    <row r="119" customFormat="1" ht="15.75" customHeight="1"/>
    <row r="120" customFormat="1" ht="15.75" customHeight="1"/>
    <row r="121" customFormat="1" ht="15.75" customHeight="1"/>
    <row r="122" customFormat="1" ht="15.75" customHeight="1"/>
    <row r="123" customFormat="1" ht="15.75" customHeight="1"/>
    <row r="124" customFormat="1" ht="15.75" customHeight="1"/>
    <row r="125" customFormat="1" ht="15.75" customHeight="1"/>
    <row r="126" customFormat="1" ht="15.75" customHeight="1"/>
    <row r="127" customFormat="1" ht="15.75" customHeight="1"/>
    <row r="128" customFormat="1" ht="15.75" customHeight="1"/>
    <row r="129" customFormat="1" ht="15.75" customHeight="1"/>
    <row r="130" customFormat="1" ht="15.75" customHeight="1"/>
    <row r="131" customFormat="1" ht="15.75" customHeight="1"/>
    <row r="132" customFormat="1" ht="15.75" customHeight="1"/>
    <row r="133" customFormat="1" ht="15.75" customHeight="1"/>
    <row r="134" customFormat="1" ht="15.75" customHeight="1"/>
    <row r="135" customFormat="1" ht="15.75" customHeight="1"/>
    <row r="136" customFormat="1" ht="15.75" customHeight="1"/>
    <row r="137" customFormat="1" ht="15.75" customHeight="1"/>
    <row r="138" customFormat="1" ht="15.75" customHeight="1"/>
    <row r="139" customFormat="1" ht="15.75" customHeight="1"/>
    <row r="140" customFormat="1" ht="15.75" customHeight="1"/>
    <row r="141" customFormat="1" ht="15.75" customHeight="1"/>
    <row r="142" customFormat="1" ht="15.75" customHeight="1"/>
    <row r="143" customFormat="1" ht="15.75" customHeight="1"/>
    <row r="144" customFormat="1" ht="15.75" customHeight="1"/>
    <row r="145" customFormat="1" ht="15.75" customHeight="1"/>
    <row r="146" customFormat="1" ht="15.75" customHeight="1"/>
    <row r="147" customFormat="1" ht="15.75" customHeight="1"/>
    <row r="148" customFormat="1" ht="15.75" customHeight="1"/>
    <row r="149" customFormat="1" ht="15.75" customHeight="1"/>
    <row r="150" customFormat="1" ht="15.75" customHeight="1"/>
    <row r="151" customFormat="1" ht="15.75" customHeight="1"/>
    <row r="152" customFormat="1" ht="15.75" customHeight="1"/>
    <row r="153" customFormat="1" ht="15.75" customHeight="1"/>
    <row r="154" customFormat="1" ht="15.75" customHeight="1"/>
    <row r="155" customFormat="1" ht="15.75" customHeight="1"/>
    <row r="156" customFormat="1" ht="15.75" customHeight="1"/>
    <row r="157" customFormat="1" ht="15.75" customHeight="1"/>
    <row r="158" customFormat="1" ht="15.75" customHeight="1"/>
    <row r="159" customFormat="1" ht="15.75" customHeight="1"/>
    <row r="160" customFormat="1" ht="15.75" customHeight="1"/>
    <row r="161" customFormat="1" ht="15.75" customHeight="1"/>
    <row r="162" customFormat="1" ht="15.75" customHeight="1"/>
    <row r="163" customFormat="1" ht="15.75" customHeight="1"/>
    <row r="164" customFormat="1" ht="15.75" customHeight="1"/>
    <row r="165" customFormat="1" ht="15.75" customHeight="1"/>
    <row r="166" customFormat="1" ht="15.75" customHeight="1"/>
    <row r="167" customFormat="1" ht="15.75" customHeight="1"/>
    <row r="168" customFormat="1" ht="15.75" customHeight="1"/>
    <row r="169" customFormat="1" ht="15.75" customHeight="1"/>
    <row r="170" customFormat="1" ht="15.75" customHeight="1"/>
    <row r="171" customFormat="1" ht="15.75" customHeight="1"/>
    <row r="172" customFormat="1" ht="15.75" customHeight="1"/>
    <row r="173" customFormat="1" ht="15.75" customHeight="1"/>
    <row r="174" customFormat="1" ht="15.75" customHeight="1"/>
    <row r="175" customFormat="1" ht="15.75" customHeight="1"/>
    <row r="176" customFormat="1" ht="15.75" customHeight="1"/>
    <row r="177" customFormat="1" ht="15.75" customHeight="1"/>
    <row r="178" customFormat="1" ht="15.75" customHeight="1"/>
    <row r="179" customFormat="1" ht="15.75" customHeight="1"/>
    <row r="180" customFormat="1" ht="15.75" customHeight="1"/>
    <row r="181" customFormat="1" ht="15.75" customHeight="1"/>
    <row r="182" customFormat="1" ht="15.75" customHeight="1"/>
    <row r="183" customFormat="1" ht="15.75" customHeight="1"/>
    <row r="184" customFormat="1" ht="15.75" customHeight="1"/>
    <row r="185" customFormat="1" ht="15.75" customHeight="1"/>
    <row r="186" customFormat="1" ht="15.75" customHeight="1"/>
    <row r="187" customFormat="1" ht="15.75" customHeight="1"/>
    <row r="188" customFormat="1" ht="15.75" customHeight="1"/>
    <row r="189" customFormat="1" ht="15.75" customHeight="1"/>
    <row r="190" customFormat="1" ht="15.75" customHeight="1"/>
    <row r="191" customFormat="1" ht="15.75" customHeight="1"/>
    <row r="192" customFormat="1" ht="15.75" customHeight="1"/>
    <row r="193" customFormat="1" ht="15.75" customHeight="1"/>
  </sheetData>
  <mergeCells count="22">
    <mergeCell ref="C31:D31"/>
    <mergeCell ref="A3:L3"/>
    <mergeCell ref="A4:L4"/>
    <mergeCell ref="C28:D28"/>
    <mergeCell ref="C29:D29"/>
    <mergeCell ref="C30:D30"/>
    <mergeCell ref="C32:D32"/>
    <mergeCell ref="C46:D46"/>
    <mergeCell ref="E46:F46"/>
    <mergeCell ref="G46:H46"/>
    <mergeCell ref="C47:D47"/>
    <mergeCell ref="E47:F47"/>
    <mergeCell ref="G47:H47"/>
    <mergeCell ref="C50:D50"/>
    <mergeCell ref="E50:F50"/>
    <mergeCell ref="G50:H50"/>
    <mergeCell ref="C48:D48"/>
    <mergeCell ref="E48:F48"/>
    <mergeCell ref="G48:H48"/>
    <mergeCell ref="C49:D49"/>
    <mergeCell ref="E49:F49"/>
    <mergeCell ref="G49:H49"/>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5601" r:id="rId4">
          <objectPr defaultSize="0" autoPict="0" r:id="rId5">
            <anchor moveWithCells="1" sizeWithCells="1">
              <from>
                <xdr:col>0</xdr:col>
                <xdr:colOff>259080</xdr:colOff>
                <xdr:row>20</xdr:row>
                <xdr:rowOff>68580</xdr:rowOff>
              </from>
              <to>
                <xdr:col>7</xdr:col>
                <xdr:colOff>190500</xdr:colOff>
                <xdr:row>23</xdr:row>
                <xdr:rowOff>68580</xdr:rowOff>
              </to>
            </anchor>
          </objectPr>
        </oleObject>
      </mc:Choice>
      <mc:Fallback>
        <oleObject progId="Word.Document.12" shapeId="25601" r:id="rId4"/>
      </mc:Fallback>
    </mc:AlternateContent>
  </oleObjec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B85A5-43FE-48BB-91B1-311FF484FE86}">
  <dimension ref="A1:BW911"/>
  <sheetViews>
    <sheetView zoomScale="110" zoomScaleNormal="110" workbookViewId="0">
      <selection activeCell="B38" sqref="B38"/>
    </sheetView>
  </sheetViews>
  <sheetFormatPr defaultColWidth="9.109375" defaultRowHeight="15.6"/>
  <cols>
    <col min="1" max="5" width="9.109375" style="1"/>
    <col min="6" max="6" width="11.6640625" style="1" customWidth="1"/>
    <col min="7" max="7" width="11.5546875" style="1" customWidth="1"/>
    <col min="8" max="8" width="9.109375" style="1"/>
    <col min="9" max="9" width="10.5546875" style="1" customWidth="1"/>
    <col min="10" max="10" width="11.5546875" style="1" customWidth="1"/>
    <col min="11" max="12" width="9.109375" style="1"/>
    <col min="13" max="13" width="9.109375" customWidth="1"/>
    <col min="76" max="16384" width="9.109375" style="1"/>
  </cols>
  <sheetData>
    <row r="1" spans="1:12" ht="15.75" customHeight="1">
      <c r="A1" s="23" t="s">
        <v>669</v>
      </c>
      <c r="B1" s="22"/>
      <c r="C1" s="5" t="s">
        <v>38</v>
      </c>
      <c r="D1" s="22"/>
      <c r="E1" s="22"/>
      <c r="F1" s="22"/>
      <c r="G1" s="22"/>
      <c r="H1" s="22"/>
      <c r="I1" s="22"/>
      <c r="J1" s="22"/>
      <c r="K1" s="22"/>
      <c r="L1" s="2"/>
    </row>
    <row r="2" spans="1:12" ht="15.75" customHeight="1">
      <c r="A2" s="21"/>
      <c r="B2" s="21"/>
      <c r="C2" s="160" t="s">
        <v>1</v>
      </c>
      <c r="D2" s="166"/>
      <c r="E2" s="166"/>
      <c r="F2" s="166"/>
      <c r="G2" s="166"/>
      <c r="H2" s="166"/>
      <c r="I2" s="166"/>
      <c r="J2" s="166"/>
      <c r="K2" s="166"/>
      <c r="L2" s="165"/>
    </row>
    <row r="3" spans="1:12" ht="31.5" customHeight="1">
      <c r="A3" s="1670" t="s">
        <v>2020</v>
      </c>
      <c r="B3" s="1670"/>
      <c r="C3" s="1670"/>
      <c r="D3" s="1670"/>
      <c r="E3" s="1670"/>
      <c r="F3" s="1670"/>
      <c r="G3" s="1670"/>
      <c r="H3" s="1670"/>
      <c r="I3" s="1670"/>
      <c r="J3" s="1670"/>
      <c r="K3" s="1670"/>
      <c r="L3" s="1670"/>
    </row>
    <row r="4" spans="1:12" ht="15.75" customHeight="1">
      <c r="A4" s="21"/>
      <c r="B4" s="3"/>
      <c r="C4" s="3"/>
      <c r="D4" s="3"/>
      <c r="E4" s="3"/>
      <c r="F4" s="3"/>
      <c r="G4" s="3"/>
      <c r="H4" s="3"/>
      <c r="I4" s="3"/>
      <c r="J4" s="3"/>
      <c r="K4" s="3"/>
      <c r="L4" s="2"/>
    </row>
    <row r="5" spans="1:12" ht="15.75" customHeight="1">
      <c r="A5" s="3" t="s">
        <v>2019</v>
      </c>
      <c r="B5" s="3"/>
      <c r="C5" s="3"/>
      <c r="D5" s="3"/>
      <c r="E5" s="3"/>
      <c r="F5" s="3"/>
      <c r="G5" s="3"/>
      <c r="H5" s="3"/>
      <c r="I5" s="3"/>
      <c r="J5" s="3"/>
      <c r="K5" s="3"/>
      <c r="L5" s="2"/>
    </row>
    <row r="6" spans="1:12" ht="15.75" customHeight="1">
      <c r="A6" s="3"/>
      <c r="B6" s="1671" t="s">
        <v>2018</v>
      </c>
      <c r="C6" s="1671"/>
      <c r="D6" s="1671" t="s">
        <v>1952</v>
      </c>
      <c r="E6" s="1671"/>
      <c r="F6" s="3"/>
      <c r="G6" s="3"/>
      <c r="H6" s="3"/>
      <c r="I6" s="3"/>
      <c r="J6" s="3"/>
      <c r="K6" s="3"/>
      <c r="L6" s="2"/>
    </row>
    <row r="7" spans="1:12" ht="15.75" customHeight="1">
      <c r="A7" s="3"/>
      <c r="B7" s="1917">
        <v>0</v>
      </c>
      <c r="C7" s="1917"/>
      <c r="D7" s="1916">
        <v>9.1600000000000001E-2</v>
      </c>
      <c r="E7" s="1916"/>
      <c r="F7" s="3"/>
      <c r="G7" s="3"/>
      <c r="H7" s="3"/>
      <c r="I7" s="3"/>
      <c r="J7" s="3"/>
      <c r="K7" s="3"/>
      <c r="L7" s="2"/>
    </row>
    <row r="8" spans="1:12" ht="15.75" customHeight="1">
      <c r="A8" s="3"/>
      <c r="B8" s="1915">
        <v>40000</v>
      </c>
      <c r="C8" s="1915"/>
      <c r="D8" s="1916">
        <v>0.14649999999999999</v>
      </c>
      <c r="E8" s="1916"/>
      <c r="F8" s="3"/>
      <c r="G8" s="3"/>
      <c r="H8" s="3"/>
      <c r="I8" s="3"/>
      <c r="J8" s="3"/>
      <c r="K8" s="3"/>
      <c r="L8" s="2"/>
    </row>
    <row r="9" spans="1:12" ht="15.75" customHeight="1">
      <c r="A9" s="3"/>
      <c r="B9" s="1915">
        <v>110000</v>
      </c>
      <c r="C9" s="1915"/>
      <c r="D9" s="1916">
        <v>0.19539999999999999</v>
      </c>
      <c r="E9" s="1916"/>
      <c r="F9" s="3"/>
      <c r="G9" s="3"/>
      <c r="H9" s="3"/>
      <c r="I9" s="3"/>
      <c r="J9" s="3"/>
      <c r="K9" s="3"/>
      <c r="L9" s="2"/>
    </row>
    <row r="10" spans="1:12" ht="15.75" customHeight="1">
      <c r="A10" s="3"/>
      <c r="B10" s="1915">
        <v>180000</v>
      </c>
      <c r="C10" s="1915"/>
      <c r="D10" s="1916">
        <v>0.19539999999999999</v>
      </c>
      <c r="E10" s="1916"/>
      <c r="F10" s="3"/>
      <c r="G10" s="3"/>
      <c r="H10" s="3"/>
      <c r="I10" s="3"/>
      <c r="J10" s="3"/>
      <c r="K10" s="3"/>
      <c r="L10" s="2"/>
    </row>
    <row r="11" spans="1:12" ht="15.75" customHeight="1">
      <c r="A11" s="3"/>
      <c r="B11" s="1915">
        <v>250000</v>
      </c>
      <c r="C11" s="1915"/>
      <c r="D11" s="1916">
        <v>0.15629999999999999</v>
      </c>
      <c r="E11" s="1916"/>
      <c r="F11" s="3"/>
      <c r="G11" s="3"/>
      <c r="H11" s="3"/>
      <c r="I11" s="3"/>
      <c r="J11" s="3"/>
      <c r="K11" s="3"/>
      <c r="L11" s="2"/>
    </row>
    <row r="12" spans="1:12" ht="15.75" customHeight="1">
      <c r="A12" s="3"/>
      <c r="B12" s="1915">
        <v>320000</v>
      </c>
      <c r="C12" s="1915"/>
      <c r="D12" s="1916">
        <v>0.1042</v>
      </c>
      <c r="E12" s="1916"/>
      <c r="F12" s="3"/>
      <c r="G12" s="3"/>
      <c r="H12" s="3"/>
      <c r="I12" s="3"/>
      <c r="J12" s="3"/>
      <c r="K12" s="3"/>
      <c r="L12" s="2"/>
    </row>
    <row r="13" spans="1:12" ht="15.75" customHeight="1">
      <c r="A13" s="3"/>
      <c r="B13" s="1915">
        <v>390000</v>
      </c>
      <c r="C13" s="1915"/>
      <c r="D13" s="1916">
        <v>5.9499999999999997E-2</v>
      </c>
      <c r="E13" s="1916"/>
      <c r="F13" s="3"/>
      <c r="G13" s="3"/>
      <c r="H13" s="3"/>
      <c r="I13" s="3"/>
      <c r="J13" s="3"/>
      <c r="K13" s="3"/>
      <c r="L13" s="2"/>
    </row>
    <row r="14" spans="1:12" ht="15.75" customHeight="1">
      <c r="A14" s="3"/>
      <c r="B14" s="1915">
        <v>400000</v>
      </c>
      <c r="C14" s="1915"/>
      <c r="D14" s="1916">
        <v>5.11E-2</v>
      </c>
      <c r="E14" s="1916"/>
      <c r="F14" s="3"/>
      <c r="G14" s="3"/>
      <c r="H14" s="3"/>
      <c r="I14" s="3"/>
      <c r="J14" s="3"/>
      <c r="K14" s="3"/>
      <c r="L14" s="2"/>
    </row>
    <row r="15" spans="1:12" ht="15.75" customHeight="1">
      <c r="A15" s="3"/>
      <c r="B15" s="3"/>
      <c r="C15" s="3"/>
      <c r="D15" s="3"/>
      <c r="E15" s="3"/>
      <c r="F15" s="3"/>
      <c r="G15" s="3"/>
      <c r="H15" s="3"/>
      <c r="I15" s="3"/>
      <c r="J15" s="3"/>
      <c r="K15" s="74"/>
      <c r="L15" s="2"/>
    </row>
    <row r="16" spans="1:12" ht="15.75" customHeight="1">
      <c r="A16" s="3" t="s">
        <v>2017</v>
      </c>
      <c r="B16" s="3"/>
      <c r="C16" s="3"/>
      <c r="D16" s="12">
        <v>331000</v>
      </c>
      <c r="E16" s="3"/>
      <c r="F16" s="3"/>
      <c r="G16" s="3"/>
      <c r="H16" s="3"/>
      <c r="I16" s="3"/>
      <c r="J16" s="3"/>
      <c r="K16" s="74"/>
      <c r="L16" s="2"/>
    </row>
    <row r="17" spans="1:12" ht="15.75" customHeight="1">
      <c r="A17" s="3"/>
      <c r="B17" s="3"/>
      <c r="C17" s="3"/>
      <c r="D17" s="1237"/>
      <c r="E17" s="3"/>
      <c r="F17" s="3"/>
      <c r="G17" s="3"/>
      <c r="H17" s="3"/>
      <c r="I17" s="3"/>
      <c r="J17" s="3"/>
      <c r="K17" s="74"/>
      <c r="L17" s="2"/>
    </row>
    <row r="18" spans="1:12" ht="15.75" customHeight="1">
      <c r="A18" s="3" t="s">
        <v>2016</v>
      </c>
      <c r="B18" s="3"/>
      <c r="C18" s="3"/>
      <c r="D18" s="3"/>
      <c r="E18" s="3"/>
      <c r="F18" s="3"/>
      <c r="G18" s="3"/>
      <c r="H18" s="3"/>
      <c r="I18" s="3"/>
      <c r="J18" s="3"/>
      <c r="K18" s="74"/>
      <c r="L18" s="2"/>
    </row>
    <row r="19" spans="1:12" ht="15.75" customHeight="1">
      <c r="A19" s="3"/>
      <c r="B19" s="1671" t="s">
        <v>1998</v>
      </c>
      <c r="C19" s="1671"/>
      <c r="D19" s="1671" t="s">
        <v>1997</v>
      </c>
      <c r="E19" s="1671"/>
      <c r="F19" s="3"/>
      <c r="G19" s="3"/>
      <c r="H19" s="3"/>
      <c r="I19" s="3"/>
      <c r="J19" s="3"/>
      <c r="K19" s="74"/>
      <c r="L19" s="2"/>
    </row>
    <row r="20" spans="1:12" ht="15.75" customHeight="1">
      <c r="A20" s="3"/>
      <c r="B20" s="1868" t="s">
        <v>2015</v>
      </c>
      <c r="C20" s="1868"/>
      <c r="D20" s="1913">
        <v>0.45</v>
      </c>
      <c r="E20" s="1913"/>
      <c r="F20" s="3"/>
      <c r="G20" s="3"/>
      <c r="H20" s="3"/>
      <c r="I20" s="3"/>
      <c r="J20" s="3"/>
      <c r="K20" s="74"/>
      <c r="L20" s="2"/>
    </row>
    <row r="21" spans="1:12" ht="15.75" customHeight="1">
      <c r="A21" s="3"/>
      <c r="B21" s="1870" t="s">
        <v>2014</v>
      </c>
      <c r="C21" s="1870"/>
      <c r="D21" s="1914" t="s">
        <v>1993</v>
      </c>
      <c r="E21" s="1914"/>
      <c r="F21" s="3"/>
      <c r="G21" s="3"/>
      <c r="H21" s="3"/>
      <c r="I21" s="3"/>
      <c r="J21" s="3"/>
      <c r="K21" s="74"/>
      <c r="L21" s="2"/>
    </row>
    <row r="22" spans="1:12" ht="15.75" customHeight="1">
      <c r="A22" s="3"/>
      <c r="B22" s="1870" t="s">
        <v>2013</v>
      </c>
      <c r="C22" s="1870"/>
      <c r="D22" s="1914" t="s">
        <v>1991</v>
      </c>
      <c r="E22" s="1914"/>
      <c r="F22" s="3"/>
      <c r="G22" s="3"/>
      <c r="H22" s="3"/>
      <c r="I22" s="3"/>
      <c r="J22" s="3"/>
      <c r="K22" s="74"/>
      <c r="L22" s="2"/>
    </row>
    <row r="23" spans="1:12" ht="15.75" customHeight="1">
      <c r="A23" s="3"/>
      <c r="B23" s="1870" t="s">
        <v>2012</v>
      </c>
      <c r="C23" s="1870"/>
      <c r="D23" s="1913">
        <v>0.25</v>
      </c>
      <c r="E23" s="1913"/>
      <c r="F23" s="3"/>
      <c r="G23" s="3"/>
      <c r="H23" s="3"/>
      <c r="I23" s="3"/>
      <c r="J23" s="3"/>
      <c r="K23" s="74"/>
      <c r="L23" s="2"/>
    </row>
    <row r="24" spans="1:12" ht="15.75" customHeight="1">
      <c r="A24" s="3"/>
      <c r="B24" s="699"/>
      <c r="C24" s="699"/>
      <c r="D24" s="698"/>
      <c r="E24" s="698"/>
      <c r="F24" s="3"/>
      <c r="G24" s="3"/>
      <c r="H24" s="3"/>
      <c r="I24" s="3"/>
      <c r="J24" s="3"/>
      <c r="K24" s="74"/>
      <c r="L24" s="2"/>
    </row>
    <row r="25" spans="1:12" ht="15.75" customHeight="1">
      <c r="A25" s="3"/>
      <c r="B25" s="736" t="s">
        <v>2011</v>
      </c>
      <c r="C25" s="699"/>
      <c r="D25" s="697">
        <v>0.08</v>
      </c>
      <c r="E25" s="1236" t="s">
        <v>2010</v>
      </c>
      <c r="F25" s="3"/>
      <c r="G25" s="3"/>
      <c r="H25" s="3"/>
      <c r="I25" s="3"/>
      <c r="J25" s="3"/>
      <c r="K25" s="74"/>
      <c r="L25" s="2"/>
    </row>
    <row r="26" spans="1:12" ht="15.75" customHeight="1">
      <c r="A26" s="3"/>
      <c r="B26" s="3"/>
      <c r="C26" s="673"/>
      <c r="D26" s="3"/>
      <c r="E26" s="3"/>
      <c r="F26" s="3"/>
      <c r="G26" s="3"/>
      <c r="H26" s="3"/>
      <c r="I26" s="3"/>
      <c r="J26" s="3"/>
      <c r="K26" s="74"/>
      <c r="L26" s="3"/>
    </row>
    <row r="27" spans="1:12" ht="15.75" customHeight="1">
      <c r="A27" s="3" t="s">
        <v>80</v>
      </c>
      <c r="B27" s="3" t="s">
        <v>2009</v>
      </c>
      <c r="C27" s="3"/>
      <c r="D27" s="3"/>
      <c r="E27" s="3"/>
      <c r="F27" s="3"/>
      <c r="G27" s="3"/>
      <c r="H27" s="3"/>
      <c r="I27" s="3"/>
      <c r="J27" s="3"/>
      <c r="K27" s="3"/>
      <c r="L27" s="2"/>
    </row>
    <row r="28" spans="1:12" ht="15.75" customHeight="1">
      <c r="A28" s="5"/>
      <c r="B28" s="5" t="s">
        <v>64</v>
      </c>
      <c r="C28" s="5"/>
      <c r="D28" s="4"/>
      <c r="E28" s="4"/>
      <c r="F28" s="4"/>
      <c r="G28" s="4"/>
      <c r="H28" s="3"/>
      <c r="I28" s="3"/>
      <c r="J28" s="2"/>
      <c r="K28" s="3"/>
      <c r="L28" s="2"/>
    </row>
    <row r="29" spans="1:12" ht="15.75" customHeight="1">
      <c r="A29"/>
      <c r="B29"/>
      <c r="C29"/>
      <c r="D29"/>
      <c r="E29"/>
      <c r="F29"/>
      <c r="G29"/>
      <c r="H29"/>
      <c r="I29"/>
      <c r="J29"/>
      <c r="K29"/>
      <c r="L29"/>
    </row>
    <row r="30" spans="1:12" ht="15.75" customHeight="1">
      <c r="A30"/>
      <c r="B30" s="68" t="s">
        <v>1998</v>
      </c>
      <c r="C30" s="1133">
        <v>0.54</v>
      </c>
      <c r="D30" s="1235"/>
      <c r="E30"/>
      <c r="F30"/>
      <c r="G30"/>
      <c r="H30"/>
      <c r="I30"/>
      <c r="J30"/>
      <c r="K30"/>
      <c r="L30"/>
    </row>
    <row r="31" spans="1:12" ht="15.75" customHeight="1">
      <c r="A31"/>
      <c r="B31" s="68" t="s">
        <v>1997</v>
      </c>
      <c r="C31" s="1133">
        <f>25%+(60%-C30)</f>
        <v>0.30999999999999994</v>
      </c>
      <c r="D31" s="1235"/>
      <c r="E31"/>
      <c r="F31"/>
      <c r="G31"/>
      <c r="H31"/>
      <c r="I31"/>
      <c r="J31"/>
      <c r="K31"/>
      <c r="L31"/>
    </row>
    <row r="32" spans="1:12" ht="15.75" customHeight="1">
      <c r="A32"/>
      <c r="B32" s="68" t="s">
        <v>1996</v>
      </c>
      <c r="C32" s="1133">
        <f>$D$25</f>
        <v>0.08</v>
      </c>
      <c r="D32" s="1235"/>
      <c r="E32"/>
      <c r="F32"/>
      <c r="G32"/>
      <c r="H32"/>
      <c r="I32"/>
      <c r="J32"/>
      <c r="K32"/>
      <c r="L32"/>
    </row>
    <row r="33" spans="1:12" ht="15.75" customHeight="1">
      <c r="A33"/>
      <c r="B33" s="68"/>
      <c r="C33" s="1133"/>
      <c r="D33" s="1235"/>
      <c r="E33"/>
      <c r="F33"/>
      <c r="G33"/>
      <c r="H33"/>
      <c r="I33"/>
      <c r="J33"/>
      <c r="K33"/>
      <c r="L33"/>
    </row>
    <row r="34" spans="1:12" ht="15.75" customHeight="1">
      <c r="A34"/>
      <c r="B34" s="1222" t="s">
        <v>1933</v>
      </c>
      <c r="C34" s="1233">
        <f>100%-SUM(C30:C32)</f>
        <v>7.0000000000000062E-2</v>
      </c>
      <c r="D34" s="1235"/>
      <c r="E34"/>
      <c r="F34"/>
      <c r="G34"/>
      <c r="H34"/>
      <c r="I34"/>
      <c r="J34"/>
      <c r="K34"/>
      <c r="L34"/>
    </row>
    <row r="35" spans="1:12" ht="15.75" customHeight="1">
      <c r="A35"/>
      <c r="B35"/>
      <c r="C35"/>
      <c r="D35"/>
      <c r="E35"/>
      <c r="F35"/>
      <c r="G35"/>
      <c r="H35"/>
      <c r="I35"/>
      <c r="J35"/>
      <c r="K35"/>
      <c r="L35"/>
    </row>
    <row r="36" spans="1:12" ht="31.5" customHeight="1">
      <c r="A36" s="214" t="s">
        <v>9</v>
      </c>
      <c r="B36" s="1670" t="s">
        <v>2008</v>
      </c>
      <c r="C36" s="1670"/>
      <c r="D36" s="1670"/>
      <c r="E36" s="1670"/>
      <c r="F36" s="1670"/>
      <c r="G36" s="1670"/>
      <c r="H36" s="1670"/>
      <c r="I36" s="1670"/>
      <c r="J36" s="1670"/>
      <c r="K36" s="1670"/>
      <c r="L36" s="1670"/>
    </row>
    <row r="37" spans="1:12" ht="15.75" customHeight="1">
      <c r="A37" s="5"/>
      <c r="B37" s="5" t="s">
        <v>64</v>
      </c>
      <c r="C37" s="5"/>
      <c r="D37" s="4"/>
      <c r="E37" s="4"/>
      <c r="F37" s="4"/>
      <c r="G37" s="4"/>
      <c r="H37" s="3"/>
      <c r="I37" s="3"/>
      <c r="J37" s="2"/>
      <c r="K37" s="3"/>
      <c r="L37" s="2"/>
    </row>
    <row r="38" spans="1:12" ht="15.75" customHeight="1">
      <c r="A38" s="59"/>
      <c r="B38" s="59"/>
      <c r="C38" s="59"/>
      <c r="D38" s="188"/>
      <c r="E38" s="188"/>
      <c r="F38" s="188"/>
      <c r="G38" s="188"/>
      <c r="H38" s="187"/>
      <c r="I38" s="187"/>
      <c r="K38" s="187"/>
    </row>
    <row r="39" spans="1:12" ht="15.75" customHeight="1">
      <c r="A39"/>
      <c r="B39"/>
      <c r="C39"/>
      <c r="D39"/>
      <c r="E39"/>
      <c r="F39" s="57" t="s">
        <v>2000</v>
      </c>
      <c r="G39" s="1" t="s">
        <v>1952</v>
      </c>
      <c r="H39" s="57" t="s">
        <v>1998</v>
      </c>
      <c r="I39" s="57" t="s">
        <v>1997</v>
      </c>
      <c r="K39"/>
      <c r="L39"/>
    </row>
    <row r="40" spans="1:12" ht="15.75" customHeight="1">
      <c r="A40"/>
      <c r="B40" s="68" t="s">
        <v>1998</v>
      </c>
      <c r="C40" s="1133" cm="1">
        <f t="array" ref="C40">SUMPRODUCT(H40:H47*G40:G47)</f>
        <v>0.53954682779456198</v>
      </c>
      <c r="D40"/>
      <c r="E40"/>
      <c r="F40" s="1232">
        <f t="shared" ref="F40:F47" si="0">B7</f>
        <v>0</v>
      </c>
      <c r="G40" s="1231">
        <f t="shared" ref="G40:G47" si="1">D7</f>
        <v>9.1600000000000001E-2</v>
      </c>
      <c r="H40" s="1230">
        <f t="shared" ref="H40:H47" si="2">F40/$D$16</f>
        <v>0</v>
      </c>
      <c r="I40" s="1133">
        <v>0.45</v>
      </c>
      <c r="K40"/>
      <c r="L40"/>
    </row>
    <row r="41" spans="1:12" ht="15.75" customHeight="1">
      <c r="A41"/>
      <c r="B41" s="68" t="s">
        <v>1997</v>
      </c>
      <c r="C41" s="1133" cm="1">
        <f t="array" ref="C41">SUMPRODUCT(I40:I47*G40:G47)</f>
        <v>0.34452190332326282</v>
      </c>
      <c r="D41"/>
      <c r="E41"/>
      <c r="F41" s="1232">
        <f t="shared" si="0"/>
        <v>40000</v>
      </c>
      <c r="G41" s="1231">
        <f t="shared" si="1"/>
        <v>0.14649999999999999</v>
      </c>
      <c r="H41" s="1230">
        <f t="shared" si="2"/>
        <v>0.12084592145015106</v>
      </c>
      <c r="I41" s="1133">
        <v>0.45</v>
      </c>
      <c r="K41"/>
      <c r="L41"/>
    </row>
    <row r="42" spans="1:12" ht="15.75" customHeight="1">
      <c r="A42"/>
      <c r="B42" s="68" t="s">
        <v>1996</v>
      </c>
      <c r="C42" s="1133">
        <f>$D$25</f>
        <v>0.08</v>
      </c>
      <c r="D42"/>
      <c r="E42"/>
      <c r="F42" s="1232">
        <f t="shared" si="0"/>
        <v>110000</v>
      </c>
      <c r="G42" s="1231">
        <f t="shared" si="1"/>
        <v>0.19539999999999999</v>
      </c>
      <c r="H42" s="1230">
        <f t="shared" si="2"/>
        <v>0.33232628398791542</v>
      </c>
      <c r="I42" s="1133">
        <f>$D$20-(H42-30%)/2</f>
        <v>0.43383685800604233</v>
      </c>
      <c r="K42"/>
      <c r="L42"/>
    </row>
    <row r="43" spans="1:12" ht="15.75" customHeight="1">
      <c r="A43"/>
      <c r="B43" s="68"/>
      <c r="C43" s="1235"/>
      <c r="D43"/>
      <c r="E43"/>
      <c r="F43" s="1232">
        <f t="shared" si="0"/>
        <v>180000</v>
      </c>
      <c r="G43" s="1231">
        <f t="shared" si="1"/>
        <v>0.19539999999999999</v>
      </c>
      <c r="H43" s="1230">
        <f t="shared" si="2"/>
        <v>0.54380664652567978</v>
      </c>
      <c r="I43" s="1133">
        <f>$D$23+(60%-H43)</f>
        <v>0.3061933534743202</v>
      </c>
      <c r="K43"/>
      <c r="L43"/>
    </row>
    <row r="44" spans="1:12" ht="15.75" customHeight="1">
      <c r="A44"/>
      <c r="B44" s="1222" t="s">
        <v>1933</v>
      </c>
      <c r="C44" s="1233">
        <f>100%-SUM(C40:C42)</f>
        <v>3.5931268882175238E-2</v>
      </c>
      <c r="D44"/>
      <c r="E44"/>
      <c r="F44" s="1232">
        <f t="shared" si="0"/>
        <v>250000</v>
      </c>
      <c r="G44" s="1231">
        <f t="shared" si="1"/>
        <v>0.15629999999999999</v>
      </c>
      <c r="H44" s="1230">
        <f t="shared" si="2"/>
        <v>0.75528700906344415</v>
      </c>
      <c r="I44" s="1133">
        <v>0.25</v>
      </c>
      <c r="K44"/>
      <c r="L44"/>
    </row>
    <row r="45" spans="1:12" ht="15.75" customHeight="1">
      <c r="A45"/>
      <c r="B45" s="68"/>
      <c r="C45"/>
      <c r="D45"/>
      <c r="E45"/>
      <c r="F45" s="1232">
        <f t="shared" si="0"/>
        <v>320000</v>
      </c>
      <c r="G45" s="1231">
        <f t="shared" si="1"/>
        <v>0.1042</v>
      </c>
      <c r="H45" s="1230">
        <f t="shared" si="2"/>
        <v>0.96676737160120851</v>
      </c>
      <c r="I45" s="1133">
        <v>0.25</v>
      </c>
      <c r="K45"/>
      <c r="L45"/>
    </row>
    <row r="46" spans="1:12" ht="15.75" customHeight="1">
      <c r="A46"/>
      <c r="B46" s="68"/>
      <c r="C46"/>
      <c r="D46"/>
      <c r="E46"/>
      <c r="F46" s="1232">
        <f t="shared" si="0"/>
        <v>390000</v>
      </c>
      <c r="G46" s="1231">
        <f t="shared" si="1"/>
        <v>5.9499999999999997E-2</v>
      </c>
      <c r="H46" s="1230">
        <f t="shared" si="2"/>
        <v>1.1782477341389728</v>
      </c>
      <c r="I46" s="1133">
        <v>0.25</v>
      </c>
      <c r="K46"/>
      <c r="L46"/>
    </row>
    <row r="47" spans="1:12" ht="15.75" customHeight="1">
      <c r="A47"/>
      <c r="B47" s="68"/>
      <c r="C47"/>
      <c r="D47"/>
      <c r="E47"/>
      <c r="F47" s="1232">
        <f t="shared" si="0"/>
        <v>400000</v>
      </c>
      <c r="G47" s="1231">
        <f t="shared" si="1"/>
        <v>5.11E-2</v>
      </c>
      <c r="H47" s="1230">
        <f t="shared" si="2"/>
        <v>1.2084592145015105</v>
      </c>
      <c r="I47" s="1133">
        <v>0.25</v>
      </c>
      <c r="K47"/>
      <c r="L47"/>
    </row>
    <row r="48" spans="1:12" ht="15.75" customHeight="1">
      <c r="A48"/>
      <c r="B48"/>
      <c r="C48"/>
      <c r="D48"/>
      <c r="E48"/>
      <c r="F48"/>
      <c r="G48"/>
      <c r="H48"/>
      <c r="I48"/>
      <c r="J48"/>
      <c r="K48"/>
      <c r="L48"/>
    </row>
    <row r="49" spans="1:16">
      <c r="A49" s="214" t="s">
        <v>7</v>
      </c>
      <c r="B49" s="1670" t="s">
        <v>2007</v>
      </c>
      <c r="C49" s="1670"/>
      <c r="D49" s="1670"/>
      <c r="E49" s="1670"/>
      <c r="F49" s="1670"/>
      <c r="G49" s="1670"/>
      <c r="H49" s="1670"/>
      <c r="I49" s="1670"/>
      <c r="J49" s="1670"/>
      <c r="K49" s="1670"/>
      <c r="L49" s="1670"/>
    </row>
    <row r="50" spans="1:16" ht="16.2">
      <c r="A50" s="5"/>
      <c r="B50" s="5" t="s">
        <v>64</v>
      </c>
      <c r="C50" s="5"/>
      <c r="D50" s="4"/>
      <c r="E50" s="4"/>
      <c r="F50" s="4"/>
      <c r="G50" s="4"/>
      <c r="H50" s="3"/>
      <c r="I50" s="3"/>
      <c r="J50" s="2"/>
      <c r="K50" s="3"/>
      <c r="L50" s="2"/>
    </row>
    <row r="51" spans="1:16">
      <c r="A51"/>
      <c r="B51"/>
      <c r="C51"/>
      <c r="D51"/>
      <c r="E51"/>
      <c r="F51"/>
      <c r="G51"/>
      <c r="H51"/>
      <c r="I51"/>
      <c r="J51"/>
      <c r="K51"/>
      <c r="L51"/>
    </row>
    <row r="52" spans="1:16">
      <c r="A52"/>
      <c r="B52" s="56" t="s">
        <v>2006</v>
      </c>
      <c r="C52"/>
      <c r="D52"/>
      <c r="E52"/>
      <c r="F52"/>
      <c r="G52"/>
      <c r="H52"/>
      <c r="I52"/>
      <c r="J52"/>
      <c r="K52"/>
      <c r="L52"/>
    </row>
    <row r="53" spans="1:16">
      <c r="A53"/>
      <c r="B53"/>
      <c r="C53"/>
      <c r="D53"/>
      <c r="E53"/>
      <c r="F53"/>
      <c r="G53"/>
      <c r="H53"/>
      <c r="I53"/>
      <c r="J53"/>
      <c r="K53"/>
      <c r="L53"/>
    </row>
    <row r="54" spans="1:16" ht="15.75" customHeight="1">
      <c r="A54" s="3"/>
      <c r="B54" s="3"/>
      <c r="C54" s="673"/>
      <c r="D54" s="3"/>
      <c r="E54" s="3"/>
      <c r="F54" s="3"/>
      <c r="G54" s="3"/>
      <c r="H54" s="3"/>
      <c r="I54" s="3"/>
      <c r="J54" s="3"/>
      <c r="K54" s="74"/>
      <c r="L54" s="3"/>
    </row>
    <row r="55" spans="1:16" ht="15.75" customHeight="1">
      <c r="A55" s="3" t="s">
        <v>2005</v>
      </c>
      <c r="B55" s="3"/>
      <c r="C55" s="673"/>
      <c r="D55" s="3"/>
      <c r="E55" s="3"/>
      <c r="F55" s="3"/>
      <c r="G55" s="3"/>
      <c r="H55" s="3"/>
      <c r="I55" s="3"/>
      <c r="J55" s="3"/>
      <c r="K55" s="74"/>
      <c r="L55" s="3"/>
    </row>
    <row r="56" spans="1:16" ht="15.75" customHeight="1">
      <c r="A56" s="3" t="s">
        <v>2004</v>
      </c>
      <c r="B56" s="3"/>
      <c r="C56" s="673"/>
      <c r="D56" s="3"/>
      <c r="E56" s="1109">
        <v>0.755</v>
      </c>
      <c r="F56" s="3"/>
      <c r="G56" s="3"/>
      <c r="H56" s="3"/>
      <c r="I56" s="3"/>
      <c r="J56" s="3"/>
      <c r="K56" s="74"/>
      <c r="L56" s="3"/>
    </row>
    <row r="57" spans="1:16" ht="15.75" customHeight="1">
      <c r="A57" s="3"/>
      <c r="B57" s="3"/>
      <c r="C57" s="673"/>
      <c r="D57" s="3"/>
      <c r="E57" s="3"/>
      <c r="F57" s="3"/>
      <c r="G57" s="3"/>
      <c r="H57" s="3"/>
      <c r="I57" s="3"/>
      <c r="J57" s="3"/>
      <c r="K57" s="74"/>
      <c r="L57" s="3"/>
    </row>
    <row r="58" spans="1:16" ht="31.5" customHeight="1">
      <c r="A58" s="214" t="s">
        <v>4</v>
      </c>
      <c r="B58" s="1670" t="s">
        <v>2003</v>
      </c>
      <c r="C58" s="1670"/>
      <c r="D58" s="1670"/>
      <c r="E58" s="1670"/>
      <c r="F58" s="1670"/>
      <c r="G58" s="1670"/>
      <c r="H58" s="1670"/>
      <c r="I58" s="1670"/>
      <c r="J58" s="1670"/>
      <c r="K58" s="1670"/>
      <c r="L58" s="1670"/>
    </row>
    <row r="59" spans="1:16" ht="15.75" customHeight="1">
      <c r="A59" s="5"/>
      <c r="B59" s="5" t="s">
        <v>64</v>
      </c>
      <c r="C59" s="5"/>
      <c r="D59" s="4"/>
      <c r="E59" s="4"/>
      <c r="F59" s="4"/>
      <c r="G59" s="4"/>
      <c r="H59" s="3"/>
      <c r="I59" s="3"/>
      <c r="J59" s="2"/>
      <c r="K59" s="3"/>
      <c r="L59" s="2"/>
    </row>
    <row r="60" spans="1:16" ht="15.75" customHeight="1">
      <c r="A60" s="59"/>
      <c r="B60" s="59"/>
      <c r="C60" s="59"/>
      <c r="D60" s="188"/>
      <c r="E60" s="188"/>
      <c r="F60" s="188"/>
      <c r="G60" s="188"/>
      <c r="H60" s="187"/>
      <c r="I60" s="187"/>
      <c r="K60" s="187"/>
    </row>
    <row r="61" spans="1:16" ht="15.75" customHeight="1">
      <c r="A61"/>
      <c r="B61" s="37" t="s">
        <v>2002</v>
      </c>
      <c r="C61" s="59"/>
      <c r="D61" s="188"/>
      <c r="E61" s="188"/>
      <c r="F61" s="188"/>
      <c r="G61" s="188"/>
      <c r="H61" s="187"/>
      <c r="I61" s="187"/>
      <c r="K61" s="187"/>
      <c r="M61" s="1"/>
      <c r="N61" s="1"/>
      <c r="O61" s="1"/>
      <c r="P61" s="1"/>
    </row>
    <row r="62" spans="1:16" ht="15.75" customHeight="1">
      <c r="A62"/>
      <c r="B62" s="1234">
        <f>E56-60%</f>
        <v>0.15500000000000003</v>
      </c>
      <c r="C62" s="37" t="s">
        <v>2001</v>
      </c>
      <c r="D62" s="188"/>
      <c r="E62" s="188"/>
      <c r="F62" s="188"/>
      <c r="G62"/>
      <c r="H62" s="187"/>
      <c r="I62" s="187"/>
      <c r="K62" s="187"/>
      <c r="M62" s="1"/>
      <c r="N62" s="1"/>
      <c r="O62" s="1"/>
      <c r="P62" s="1"/>
    </row>
    <row r="63" spans="1:16" ht="15.75" customHeight="1">
      <c r="A63"/>
      <c r="B63" s="59"/>
      <c r="C63" s="59"/>
      <c r="D63" s="188"/>
      <c r="E63" s="188"/>
      <c r="F63" s="188"/>
      <c r="G63" s="188"/>
      <c r="H63" s="187"/>
      <c r="I63" s="187"/>
      <c r="K63" s="187"/>
      <c r="M63" s="1"/>
      <c r="N63" s="1"/>
      <c r="O63" s="1"/>
      <c r="P63" s="1"/>
    </row>
    <row r="64" spans="1:16" ht="15.75" customHeight="1">
      <c r="A64"/>
      <c r="B64"/>
      <c r="C64"/>
      <c r="D64"/>
      <c r="E64"/>
      <c r="F64" s="57" t="s">
        <v>2000</v>
      </c>
      <c r="G64" s="1" t="s">
        <v>1952</v>
      </c>
      <c r="H64" s="57" t="s">
        <v>1998</v>
      </c>
      <c r="I64" s="57" t="s">
        <v>1997</v>
      </c>
      <c r="K64"/>
      <c r="L64"/>
      <c r="M64" s="1" t="s">
        <v>1999</v>
      </c>
      <c r="N64" s="1"/>
      <c r="O64" s="1"/>
      <c r="P64" s="1"/>
    </row>
    <row r="65" spans="1:16" ht="15.75" customHeight="1">
      <c r="A65"/>
      <c r="B65" s="68" t="s">
        <v>1998</v>
      </c>
      <c r="C65" s="1133">
        <f>C40</f>
        <v>0.53954682779456198</v>
      </c>
      <c r="D65"/>
      <c r="E65"/>
      <c r="F65" s="1232">
        <f t="shared" ref="F65:G72" si="3">F40</f>
        <v>0</v>
      </c>
      <c r="G65" s="1231">
        <f t="shared" si="3"/>
        <v>9.1600000000000001E-2</v>
      </c>
      <c r="H65" s="1230">
        <f t="shared" ref="H65:H72" si="4">F65/$D$16</f>
        <v>0</v>
      </c>
      <c r="I65" s="1133">
        <v>0.45</v>
      </c>
      <c r="K65"/>
      <c r="L65"/>
      <c r="M65" s="1"/>
      <c r="N65" s="1"/>
      <c r="O65" s="1"/>
      <c r="P65" s="1"/>
    </row>
    <row r="66" spans="1:16" ht="15.75" customHeight="1">
      <c r="A66"/>
      <c r="B66" s="68" t="s">
        <v>1997</v>
      </c>
      <c r="C66" s="1133" cm="1">
        <f t="array" ref="C66">SUMPRODUCT(I65:I72*G65:G72)</f>
        <v>0.31839822205438062</v>
      </c>
      <c r="D66"/>
      <c r="E66"/>
      <c r="F66" s="1232">
        <f t="shared" si="3"/>
        <v>40000</v>
      </c>
      <c r="G66" s="1231">
        <f t="shared" si="3"/>
        <v>0.14649999999999999</v>
      </c>
      <c r="H66" s="1230">
        <f t="shared" si="4"/>
        <v>0.12084592145015106</v>
      </c>
      <c r="I66" s="1133">
        <v>0.45</v>
      </c>
      <c r="K66"/>
      <c r="L66"/>
      <c r="M66" s="1737" t="s">
        <v>1998</v>
      </c>
      <c r="N66" s="1737"/>
      <c r="O66" s="1737" t="s">
        <v>1997</v>
      </c>
      <c r="P66" s="1737"/>
    </row>
    <row r="67" spans="1:16" ht="15.75" customHeight="1">
      <c r="A67"/>
      <c r="B67" s="68" t="s">
        <v>1996</v>
      </c>
      <c r="C67" s="1133">
        <f>$D$25</f>
        <v>0.08</v>
      </c>
      <c r="D67"/>
      <c r="E67"/>
      <c r="F67" s="1232">
        <f t="shared" si="3"/>
        <v>110000</v>
      </c>
      <c r="G67" s="1231">
        <f t="shared" si="3"/>
        <v>0.19539999999999999</v>
      </c>
      <c r="H67" s="1230">
        <f t="shared" si="4"/>
        <v>0.33232628398791542</v>
      </c>
      <c r="I67" s="1133">
        <f>$O$67-(H67-14.5%)/2</f>
        <v>0.35633685800604231</v>
      </c>
      <c r="K67"/>
      <c r="L67"/>
      <c r="M67" s="1737" t="s">
        <v>1995</v>
      </c>
      <c r="N67" s="1737"/>
      <c r="O67" s="1912">
        <v>0.45</v>
      </c>
      <c r="P67" s="1912"/>
    </row>
    <row r="68" spans="1:16" ht="15.75" customHeight="1">
      <c r="A68"/>
      <c r="B68" s="68"/>
      <c r="C68"/>
      <c r="D68"/>
      <c r="E68"/>
      <c r="F68" s="1232">
        <f t="shared" si="3"/>
        <v>180000</v>
      </c>
      <c r="G68" s="1231">
        <f t="shared" si="3"/>
        <v>0.19539999999999999</v>
      </c>
      <c r="H68" s="1230">
        <f t="shared" si="4"/>
        <v>0.54380664652567978</v>
      </c>
      <c r="I68" s="1133">
        <v>0.25</v>
      </c>
      <c r="K68"/>
      <c r="L68"/>
      <c r="M68" s="1910" t="s">
        <v>1994</v>
      </c>
      <c r="N68" s="1910"/>
      <c r="O68" s="1911" t="s">
        <v>1993</v>
      </c>
      <c r="P68" s="1911"/>
    </row>
    <row r="69" spans="1:16" ht="15.75" customHeight="1">
      <c r="A69"/>
      <c r="B69" s="1222" t="s">
        <v>1933</v>
      </c>
      <c r="C69" s="1233">
        <f>100%-SUM(C65:C67)</f>
        <v>6.2054950151057442E-2</v>
      </c>
      <c r="D69"/>
      <c r="E69"/>
      <c r="F69" s="1232">
        <f t="shared" si="3"/>
        <v>250000</v>
      </c>
      <c r="G69" s="1231">
        <f t="shared" si="3"/>
        <v>0.15629999999999999</v>
      </c>
      <c r="H69" s="1230">
        <f t="shared" si="4"/>
        <v>0.75528700906344415</v>
      </c>
      <c r="I69" s="1133">
        <v>0.25</v>
      </c>
      <c r="K69"/>
      <c r="L69"/>
      <c r="M69" s="1910" t="s">
        <v>1992</v>
      </c>
      <c r="N69" s="1910"/>
      <c r="O69" s="1911" t="s">
        <v>1991</v>
      </c>
      <c r="P69" s="1911"/>
    </row>
    <row r="70" spans="1:16" ht="15.75" customHeight="1">
      <c r="A70"/>
      <c r="B70" s="68"/>
      <c r="C70"/>
      <c r="D70"/>
      <c r="E70"/>
      <c r="F70" s="1232">
        <f t="shared" si="3"/>
        <v>320000</v>
      </c>
      <c r="G70" s="1231">
        <f t="shared" si="3"/>
        <v>0.1042</v>
      </c>
      <c r="H70" s="1230">
        <f t="shared" si="4"/>
        <v>0.96676737160120851</v>
      </c>
      <c r="I70" s="1133">
        <v>0.25</v>
      </c>
      <c r="K70"/>
      <c r="L70"/>
      <c r="M70" s="1910" t="s">
        <v>1990</v>
      </c>
      <c r="N70" s="1910"/>
      <c r="O70" s="1912">
        <v>0.25</v>
      </c>
      <c r="P70" s="1912"/>
    </row>
    <row r="71" spans="1:16" ht="15.75" customHeight="1">
      <c r="A71"/>
      <c r="B71" s="68"/>
      <c r="C71"/>
      <c r="D71"/>
      <c r="E71"/>
      <c r="F71" s="1232">
        <f t="shared" si="3"/>
        <v>390000</v>
      </c>
      <c r="G71" s="1231">
        <f t="shared" si="3"/>
        <v>5.9499999999999997E-2</v>
      </c>
      <c r="H71" s="1230">
        <f t="shared" si="4"/>
        <v>1.1782477341389728</v>
      </c>
      <c r="I71" s="1133">
        <v>0.25</v>
      </c>
      <c r="K71"/>
      <c r="L71"/>
    </row>
    <row r="72" spans="1:16" ht="15.75" customHeight="1">
      <c r="A72"/>
      <c r="B72" s="68"/>
      <c r="C72"/>
      <c r="D72"/>
      <c r="E72"/>
      <c r="F72" s="1232">
        <f t="shared" si="3"/>
        <v>400000</v>
      </c>
      <c r="G72" s="1231">
        <f t="shared" si="3"/>
        <v>5.11E-2</v>
      </c>
      <c r="H72" s="1230">
        <f t="shared" si="4"/>
        <v>1.2084592145015105</v>
      </c>
      <c r="I72" s="1133">
        <v>0.25</v>
      </c>
      <c r="K72"/>
      <c r="L72"/>
    </row>
    <row r="73" spans="1:16" ht="15.75" customHeight="1">
      <c r="A73"/>
      <c r="B73"/>
      <c r="C73"/>
      <c r="D73"/>
      <c r="E73"/>
      <c r="F73"/>
      <c r="G73"/>
      <c r="H73"/>
      <c r="I73"/>
      <c r="J73"/>
      <c r="K73"/>
      <c r="L73"/>
    </row>
    <row r="74" spans="1:16" ht="15.75" customHeight="1">
      <c r="A74"/>
      <c r="B74"/>
      <c r="C74"/>
      <c r="D74"/>
      <c r="E74"/>
      <c r="F74"/>
      <c r="G74"/>
      <c r="H74"/>
      <c r="I74"/>
      <c r="J74"/>
      <c r="K74"/>
      <c r="L74"/>
    </row>
    <row r="75" spans="1:16" ht="15.75" customHeight="1">
      <c r="A75"/>
      <c r="B75"/>
      <c r="C75"/>
      <c r="D75"/>
      <c r="E75"/>
      <c r="F75"/>
      <c r="G75"/>
      <c r="H75"/>
      <c r="I75"/>
      <c r="J75"/>
      <c r="K75"/>
      <c r="L75"/>
    </row>
    <row r="76" spans="1:16" ht="15.75" customHeight="1">
      <c r="A76"/>
      <c r="B76"/>
      <c r="C76"/>
      <c r="D76"/>
      <c r="E76"/>
      <c r="F76"/>
      <c r="G76"/>
      <c r="H76"/>
      <c r="I76"/>
      <c r="J76"/>
      <c r="K76"/>
      <c r="L76"/>
    </row>
    <row r="77" spans="1:16">
      <c r="A77"/>
      <c r="B77"/>
      <c r="C77"/>
      <c r="D77"/>
      <c r="E77"/>
      <c r="F77"/>
      <c r="G77"/>
      <c r="H77"/>
      <c r="I77"/>
      <c r="J77"/>
      <c r="K77"/>
      <c r="L77"/>
    </row>
    <row r="78" spans="1:16">
      <c r="A78"/>
      <c r="B78"/>
      <c r="C78"/>
      <c r="D78"/>
      <c r="E78"/>
      <c r="F78"/>
      <c r="G78"/>
      <c r="H78"/>
      <c r="I78"/>
      <c r="J78"/>
      <c r="K78"/>
      <c r="L78"/>
    </row>
    <row r="79" spans="1:16">
      <c r="A79"/>
      <c r="B79"/>
      <c r="C79"/>
      <c r="D79"/>
      <c r="E79"/>
      <c r="F79"/>
      <c r="G79"/>
      <c r="H79"/>
      <c r="I79"/>
      <c r="J79"/>
      <c r="K79"/>
      <c r="L79"/>
    </row>
    <row r="80" spans="1:16">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c r="J149"/>
      <c r="K149"/>
      <c r="L149"/>
    </row>
    <row r="150" spans="1:12">
      <c r="A150"/>
      <c r="B150"/>
      <c r="C150"/>
      <c r="D150"/>
      <c r="E150"/>
      <c r="F150"/>
      <c r="G150"/>
      <c r="H150"/>
      <c r="I150"/>
      <c r="J150"/>
      <c r="K150"/>
      <c r="L150"/>
    </row>
    <row r="151" spans="1:12">
      <c r="A151"/>
      <c r="B151"/>
      <c r="C151"/>
      <c r="D151"/>
      <c r="E151"/>
      <c r="F151"/>
      <c r="G151"/>
      <c r="H151"/>
      <c r="I151"/>
      <c r="J151"/>
      <c r="K151"/>
      <c r="L151"/>
    </row>
    <row r="152" spans="1:12">
      <c r="A152"/>
      <c r="B152"/>
      <c r="C152"/>
      <c r="D152"/>
      <c r="E152"/>
      <c r="F152"/>
      <c r="G152"/>
      <c r="H152"/>
      <c r="I152"/>
      <c r="J152"/>
      <c r="K152"/>
      <c r="L152"/>
    </row>
    <row r="153" spans="1:12">
      <c r="A153"/>
      <c r="B153"/>
      <c r="C153"/>
      <c r="D153"/>
      <c r="E153"/>
      <c r="F153"/>
      <c r="G153"/>
      <c r="H153"/>
      <c r="I153"/>
      <c r="J153"/>
      <c r="K153"/>
      <c r="L153"/>
    </row>
    <row r="154" spans="1:12">
      <c r="A154"/>
      <c r="B154"/>
      <c r="C154"/>
      <c r="D154"/>
      <c r="E154"/>
      <c r="F154"/>
      <c r="G154"/>
      <c r="H154"/>
      <c r="I154"/>
      <c r="J154"/>
      <c r="K154"/>
      <c r="L154"/>
    </row>
    <row r="155" spans="1:12">
      <c r="A155"/>
      <c r="B155"/>
      <c r="C155"/>
      <c r="D155"/>
      <c r="E155"/>
      <c r="F155"/>
      <c r="G155"/>
      <c r="H155"/>
      <c r="I155"/>
      <c r="J155"/>
      <c r="K155"/>
      <c r="L155"/>
    </row>
    <row r="156" spans="1:12">
      <c r="A156"/>
      <c r="B156"/>
      <c r="C156"/>
      <c r="D156"/>
      <c r="E156"/>
      <c r="F156"/>
      <c r="G156"/>
      <c r="H156"/>
      <c r="I156"/>
      <c r="J156"/>
      <c r="K156"/>
      <c r="L156"/>
    </row>
    <row r="157" spans="1:12">
      <c r="A157"/>
      <c r="B157"/>
      <c r="C157"/>
      <c r="D157"/>
      <c r="E157"/>
      <c r="F157"/>
      <c r="G157"/>
      <c r="H157"/>
      <c r="I157"/>
      <c r="J157"/>
      <c r="K157"/>
      <c r="L157"/>
    </row>
    <row r="158" spans="1:12">
      <c r="A158"/>
      <c r="B158"/>
      <c r="C158"/>
      <c r="D158"/>
      <c r="E158"/>
      <c r="F158"/>
      <c r="G158"/>
      <c r="H158"/>
      <c r="I158"/>
      <c r="J158"/>
      <c r="K158"/>
      <c r="L158"/>
    </row>
    <row r="159" spans="1:12">
      <c r="A159"/>
      <c r="B159"/>
      <c r="C159"/>
      <c r="D159"/>
      <c r="E159"/>
      <c r="F159"/>
      <c r="G159"/>
      <c r="H159"/>
      <c r="I159"/>
      <c r="J159"/>
      <c r="K159"/>
      <c r="L159"/>
    </row>
    <row r="160" spans="1:12">
      <c r="A160"/>
      <c r="B160"/>
      <c r="C160"/>
      <c r="D160"/>
      <c r="E160"/>
      <c r="F160"/>
      <c r="G160"/>
      <c r="H160"/>
      <c r="I160"/>
      <c r="J160"/>
      <c r="K160"/>
      <c r="L160"/>
    </row>
    <row r="161" spans="1:12">
      <c r="A161"/>
      <c r="B161"/>
      <c r="C161"/>
      <c r="D161"/>
      <c r="E161"/>
      <c r="F161"/>
      <c r="G161"/>
      <c r="H161"/>
      <c r="I161"/>
      <c r="J161"/>
      <c r="K161"/>
      <c r="L161"/>
    </row>
    <row r="162" spans="1:12">
      <c r="A162"/>
      <c r="B162"/>
      <c r="C162"/>
      <c r="D162"/>
      <c r="E162"/>
      <c r="F162"/>
      <c r="G162"/>
      <c r="H162"/>
      <c r="I162"/>
      <c r="J162"/>
      <c r="K162"/>
      <c r="L162"/>
    </row>
    <row r="163" spans="1:12">
      <c r="A163"/>
      <c r="B163"/>
      <c r="C163"/>
      <c r="D163"/>
      <c r="E163"/>
      <c r="F163"/>
      <c r="G163"/>
      <c r="H163"/>
      <c r="I163"/>
      <c r="J163"/>
      <c r="K163"/>
      <c r="L163"/>
    </row>
    <row r="164" spans="1:12">
      <c r="A164"/>
      <c r="B164"/>
      <c r="C164"/>
      <c r="D164"/>
      <c r="E164"/>
      <c r="F164"/>
      <c r="G164"/>
      <c r="H164"/>
      <c r="I164"/>
      <c r="J164"/>
      <c r="K164"/>
      <c r="L164"/>
    </row>
    <row r="165" spans="1:12">
      <c r="A165"/>
      <c r="B165"/>
      <c r="C165"/>
      <c r="D165"/>
      <c r="E165"/>
      <c r="F165"/>
      <c r="G165"/>
      <c r="H165"/>
      <c r="I165"/>
      <c r="J165"/>
      <c r="K165"/>
      <c r="L165"/>
    </row>
    <row r="166" spans="1:12">
      <c r="A166"/>
      <c r="B166"/>
      <c r="C166"/>
      <c r="D166"/>
      <c r="E166"/>
      <c r="F166"/>
      <c r="G166"/>
      <c r="H166"/>
      <c r="I166"/>
      <c r="J166"/>
      <c r="K166"/>
      <c r="L166"/>
    </row>
    <row r="167" spans="1:12">
      <c r="A167"/>
      <c r="B167"/>
      <c r="C167"/>
      <c r="D167"/>
      <c r="E167"/>
      <c r="F167"/>
      <c r="G167"/>
      <c r="H167"/>
      <c r="I167"/>
      <c r="J167"/>
      <c r="K167"/>
      <c r="L167"/>
    </row>
    <row r="168" spans="1:12">
      <c r="A168"/>
      <c r="B168"/>
      <c r="C168"/>
      <c r="D168"/>
      <c r="E168"/>
      <c r="F168"/>
      <c r="G168"/>
      <c r="H168"/>
      <c r="I168"/>
      <c r="J168"/>
      <c r="K168"/>
      <c r="L168"/>
    </row>
    <row r="169" spans="1:12">
      <c r="A169"/>
      <c r="B169"/>
      <c r="C169"/>
      <c r="D169"/>
      <c r="E169"/>
      <c r="F169"/>
      <c r="G169"/>
      <c r="H169"/>
      <c r="I169"/>
      <c r="J169"/>
      <c r="K169"/>
      <c r="L169"/>
    </row>
    <row r="170" spans="1:12">
      <c r="A170"/>
      <c r="B170"/>
      <c r="C170"/>
      <c r="D170"/>
      <c r="E170"/>
      <c r="F170"/>
      <c r="G170"/>
      <c r="H170"/>
      <c r="I170"/>
      <c r="J170"/>
      <c r="K170"/>
      <c r="L170"/>
    </row>
    <row r="171" spans="1:12">
      <c r="A171"/>
      <c r="B171"/>
      <c r="C171"/>
      <c r="D171"/>
      <c r="E171"/>
      <c r="F171"/>
      <c r="G171"/>
      <c r="H171"/>
      <c r="I171"/>
      <c r="J171"/>
      <c r="K171"/>
      <c r="L171"/>
    </row>
    <row r="172" spans="1:12">
      <c r="A172"/>
      <c r="B172"/>
      <c r="C172"/>
      <c r="D172"/>
      <c r="E172"/>
      <c r="F172"/>
      <c r="G172"/>
      <c r="H172"/>
      <c r="I172"/>
      <c r="J172"/>
      <c r="K172"/>
      <c r="L172"/>
    </row>
    <row r="173" spans="1:12">
      <c r="A173"/>
      <c r="B173"/>
      <c r="C173"/>
      <c r="D173"/>
      <c r="E173"/>
      <c r="F173"/>
      <c r="G173"/>
      <c r="H173"/>
      <c r="I173"/>
      <c r="J173"/>
      <c r="K173"/>
      <c r="L173"/>
    </row>
    <row r="174" spans="1:12">
      <c r="A174"/>
      <c r="B174"/>
      <c r="C174"/>
      <c r="D174"/>
      <c r="E174"/>
      <c r="F174"/>
      <c r="G174"/>
      <c r="H174"/>
      <c r="I174"/>
      <c r="J174"/>
      <c r="K174"/>
      <c r="L174"/>
    </row>
    <row r="175" spans="1:12">
      <c r="A175"/>
      <c r="B175"/>
      <c r="C175"/>
      <c r="D175"/>
      <c r="E175"/>
      <c r="F175"/>
      <c r="G175"/>
      <c r="H175"/>
      <c r="I175"/>
      <c r="J175"/>
      <c r="K175"/>
      <c r="L175"/>
    </row>
    <row r="176" spans="1:12">
      <c r="A176"/>
      <c r="B176"/>
      <c r="C176"/>
      <c r="D176"/>
      <c r="E176"/>
      <c r="F176"/>
      <c r="G176"/>
      <c r="H176"/>
      <c r="I176"/>
      <c r="J176"/>
      <c r="K176"/>
      <c r="L176"/>
    </row>
    <row r="177" spans="1:12">
      <c r="A177"/>
      <c r="B177"/>
      <c r="C177"/>
      <c r="D177"/>
      <c r="E177"/>
      <c r="F177"/>
      <c r="G177"/>
      <c r="H177"/>
      <c r="I177"/>
      <c r="J177"/>
      <c r="K177"/>
      <c r="L177"/>
    </row>
    <row r="178" spans="1:12">
      <c r="A178"/>
      <c r="B178"/>
      <c r="C178"/>
      <c r="D178"/>
      <c r="E178"/>
      <c r="F178"/>
      <c r="G178"/>
      <c r="H178"/>
      <c r="I178"/>
      <c r="J178"/>
      <c r="K178"/>
      <c r="L178"/>
    </row>
    <row r="179" spans="1:12">
      <c r="A179"/>
      <c r="B179"/>
      <c r="C179"/>
      <c r="D179"/>
      <c r="E179"/>
      <c r="F179"/>
      <c r="G179"/>
      <c r="H179"/>
      <c r="I179"/>
      <c r="J179"/>
      <c r="K179"/>
      <c r="L179"/>
    </row>
    <row r="180" spans="1:12">
      <c r="A180"/>
      <c r="B180"/>
      <c r="C180"/>
      <c r="D180"/>
      <c r="E180"/>
      <c r="F180"/>
      <c r="G180"/>
      <c r="H180"/>
      <c r="I180"/>
      <c r="J180"/>
      <c r="K180"/>
      <c r="L180"/>
    </row>
    <row r="181" spans="1:12">
      <c r="A181"/>
      <c r="B181"/>
      <c r="C181"/>
      <c r="D181"/>
      <c r="E181"/>
      <c r="F181"/>
      <c r="G181"/>
      <c r="H181"/>
      <c r="I181"/>
      <c r="J181"/>
      <c r="K181"/>
      <c r="L181"/>
    </row>
    <row r="182" spans="1:12">
      <c r="A182"/>
      <c r="B182"/>
      <c r="C182"/>
      <c r="D182"/>
      <c r="E182"/>
      <c r="F182"/>
      <c r="G182"/>
      <c r="H182"/>
      <c r="I182"/>
      <c r="J182"/>
      <c r="K182"/>
      <c r="L182"/>
    </row>
    <row r="183" spans="1:12">
      <c r="A183"/>
      <c r="B183"/>
      <c r="C183"/>
      <c r="D183"/>
      <c r="E183"/>
      <c r="F183"/>
      <c r="G183"/>
      <c r="H183"/>
      <c r="I183"/>
      <c r="J183"/>
      <c r="K183"/>
      <c r="L183"/>
    </row>
    <row r="184" spans="1:12">
      <c r="A184"/>
      <c r="B184"/>
      <c r="C184"/>
      <c r="D184"/>
      <c r="E184"/>
      <c r="F184"/>
      <c r="G184"/>
      <c r="H184"/>
      <c r="I184"/>
      <c r="J184"/>
      <c r="K184"/>
      <c r="L184"/>
    </row>
    <row r="185" spans="1:12">
      <c r="A185"/>
      <c r="B185"/>
      <c r="C185"/>
      <c r="D185"/>
      <c r="E185"/>
      <c r="F185"/>
      <c r="G185"/>
      <c r="H185"/>
      <c r="I185"/>
      <c r="J185"/>
      <c r="K185"/>
      <c r="L185"/>
    </row>
    <row r="186" spans="1:12">
      <c r="A186"/>
      <c r="B186"/>
      <c r="C186"/>
      <c r="D186"/>
      <c r="E186"/>
      <c r="F186"/>
      <c r="G186"/>
      <c r="H186"/>
      <c r="I186"/>
      <c r="J186"/>
      <c r="K186"/>
      <c r="L186"/>
    </row>
    <row r="187" spans="1:12">
      <c r="A187"/>
      <c r="B187"/>
      <c r="C187"/>
      <c r="D187"/>
      <c r="E187"/>
      <c r="F187"/>
      <c r="G187"/>
      <c r="H187"/>
      <c r="I187"/>
      <c r="J187"/>
      <c r="K187"/>
      <c r="L187"/>
    </row>
    <row r="188" spans="1:12">
      <c r="A188"/>
      <c r="B188"/>
      <c r="C188"/>
      <c r="D188"/>
      <c r="E188"/>
      <c r="F188"/>
      <c r="G188"/>
      <c r="H188"/>
      <c r="I188"/>
      <c r="J188"/>
      <c r="K188"/>
      <c r="L188"/>
    </row>
    <row r="189" spans="1:12">
      <c r="A189"/>
      <c r="B189"/>
      <c r="C189"/>
      <c r="D189"/>
      <c r="E189"/>
      <c r="F189"/>
      <c r="G189"/>
      <c r="H189"/>
      <c r="I189"/>
      <c r="J189"/>
      <c r="K189"/>
      <c r="L189"/>
    </row>
    <row r="190" spans="1:12">
      <c r="A190"/>
      <c r="B190"/>
      <c r="C190"/>
      <c r="D190"/>
      <c r="E190"/>
      <c r="F190"/>
      <c r="G190"/>
      <c r="H190"/>
      <c r="I190"/>
      <c r="J190"/>
      <c r="K190"/>
      <c r="L190"/>
    </row>
    <row r="191" spans="1:12">
      <c r="A191"/>
      <c r="B191"/>
      <c r="C191"/>
      <c r="D191"/>
      <c r="E191"/>
      <c r="F191"/>
      <c r="G191"/>
      <c r="H191"/>
      <c r="I191"/>
      <c r="J191"/>
      <c r="K191"/>
      <c r="L191"/>
    </row>
    <row r="192" spans="1:12">
      <c r="A192"/>
      <c r="B192"/>
      <c r="C192"/>
      <c r="D192"/>
      <c r="E192"/>
      <c r="F192"/>
      <c r="G192"/>
      <c r="H192"/>
      <c r="I192"/>
      <c r="J192"/>
      <c r="K192"/>
      <c r="L192"/>
    </row>
    <row r="193" spans="1:12">
      <c r="A193"/>
      <c r="B193"/>
      <c r="C193"/>
      <c r="D193"/>
      <c r="E193"/>
      <c r="F193"/>
      <c r="G193"/>
      <c r="H193"/>
      <c r="I193"/>
      <c r="J193"/>
      <c r="K193"/>
      <c r="L193"/>
    </row>
    <row r="194" spans="1:12">
      <c r="A194"/>
      <c r="B194"/>
      <c r="C194"/>
      <c r="D194"/>
      <c r="E194"/>
      <c r="F194"/>
      <c r="G194"/>
      <c r="H194"/>
      <c r="I194"/>
      <c r="J194"/>
      <c r="K194"/>
      <c r="L194"/>
    </row>
    <row r="195" spans="1:12">
      <c r="A195"/>
      <c r="B195"/>
      <c r="C195"/>
      <c r="D195"/>
      <c r="E195"/>
      <c r="F195"/>
      <c r="G195"/>
      <c r="H195"/>
      <c r="I195"/>
      <c r="J195"/>
      <c r="K195"/>
      <c r="L195"/>
    </row>
    <row r="196" spans="1:12">
      <c r="A196"/>
      <c r="B196"/>
      <c r="C196"/>
      <c r="D196"/>
      <c r="E196"/>
      <c r="F196"/>
      <c r="G196"/>
      <c r="H196"/>
      <c r="I196"/>
      <c r="J196"/>
      <c r="K196"/>
      <c r="L196"/>
    </row>
    <row r="197" spans="1:12">
      <c r="A197"/>
      <c r="B197"/>
      <c r="C197"/>
      <c r="D197"/>
      <c r="E197"/>
      <c r="F197"/>
      <c r="G197"/>
      <c r="H197"/>
      <c r="I197"/>
      <c r="J197"/>
      <c r="K197"/>
      <c r="L197"/>
    </row>
    <row r="198" spans="1:12">
      <c r="A198"/>
      <c r="B198"/>
      <c r="C198"/>
      <c r="D198"/>
      <c r="E198"/>
      <c r="F198"/>
      <c r="G198"/>
      <c r="H198"/>
      <c r="I198"/>
      <c r="J198"/>
      <c r="K198"/>
      <c r="L198"/>
    </row>
    <row r="199" spans="1:12">
      <c r="A199"/>
      <c r="B199"/>
      <c r="C199"/>
      <c r="D199"/>
      <c r="E199"/>
      <c r="F199"/>
      <c r="G199"/>
      <c r="H199"/>
      <c r="I199"/>
      <c r="J199"/>
      <c r="K199"/>
      <c r="L199"/>
    </row>
    <row r="200" spans="1:12">
      <c r="A200"/>
      <c r="B200"/>
      <c r="C200"/>
      <c r="D200"/>
      <c r="E200"/>
      <c r="F200"/>
      <c r="G200"/>
      <c r="H200"/>
      <c r="I200"/>
      <c r="J200"/>
      <c r="K200"/>
      <c r="L200"/>
    </row>
    <row r="201" spans="1:12">
      <c r="A201"/>
      <c r="B201"/>
      <c r="C201"/>
      <c r="D201"/>
      <c r="E201"/>
      <c r="F201"/>
      <c r="G201"/>
      <c r="H201"/>
      <c r="I201"/>
      <c r="J201"/>
      <c r="K201"/>
      <c r="L201"/>
    </row>
    <row r="202" spans="1:12">
      <c r="A202"/>
      <c r="B202"/>
      <c r="C202"/>
      <c r="D202"/>
      <c r="E202"/>
      <c r="F202"/>
      <c r="G202"/>
      <c r="H202"/>
      <c r="I202"/>
      <c r="J202"/>
      <c r="K202"/>
      <c r="L202"/>
    </row>
    <row r="203" spans="1:12">
      <c r="A203"/>
      <c r="B203"/>
      <c r="C203"/>
      <c r="D203"/>
      <c r="E203"/>
      <c r="F203"/>
      <c r="G203"/>
      <c r="H203"/>
      <c r="I203"/>
      <c r="J203"/>
      <c r="K203"/>
      <c r="L203"/>
    </row>
    <row r="204" spans="1:12">
      <c r="A204"/>
      <c r="B204"/>
      <c r="C204"/>
      <c r="D204"/>
      <c r="E204"/>
      <c r="F204"/>
      <c r="G204"/>
      <c r="H204"/>
      <c r="I204"/>
      <c r="J204"/>
      <c r="K204"/>
      <c r="L204"/>
    </row>
    <row r="205" spans="1:12">
      <c r="A205"/>
      <c r="B205"/>
      <c r="C205"/>
      <c r="D205"/>
      <c r="E205"/>
      <c r="F205"/>
      <c r="G205"/>
      <c r="H205"/>
      <c r="I205"/>
      <c r="J205"/>
      <c r="K205"/>
      <c r="L205"/>
    </row>
    <row r="206" spans="1:12">
      <c r="A206"/>
      <c r="B206"/>
      <c r="C206"/>
      <c r="D206"/>
      <c r="E206"/>
      <c r="F206"/>
      <c r="G206"/>
      <c r="H206"/>
      <c r="I206"/>
      <c r="J206"/>
      <c r="K206"/>
      <c r="L206"/>
    </row>
    <row r="207" spans="1:12">
      <c r="A207"/>
      <c r="B207"/>
      <c r="C207"/>
      <c r="D207"/>
      <c r="E207"/>
      <c r="F207"/>
      <c r="G207"/>
      <c r="H207"/>
      <c r="I207"/>
      <c r="J207"/>
      <c r="K207"/>
      <c r="L207"/>
    </row>
    <row r="208" spans="1:12">
      <c r="A208"/>
      <c r="B208"/>
      <c r="C208"/>
      <c r="D208"/>
      <c r="E208"/>
      <c r="F208"/>
      <c r="G208"/>
      <c r="H208"/>
      <c r="I208"/>
      <c r="J208"/>
      <c r="K208"/>
      <c r="L208"/>
    </row>
    <row r="209" spans="1:12">
      <c r="A209"/>
      <c r="B209"/>
      <c r="C209"/>
      <c r="D209"/>
      <c r="E209"/>
      <c r="F209"/>
      <c r="G209"/>
      <c r="H209"/>
      <c r="I209"/>
      <c r="J209"/>
      <c r="K209"/>
      <c r="L209"/>
    </row>
    <row r="210" spans="1:12">
      <c r="A210"/>
      <c r="B210"/>
      <c r="C210"/>
      <c r="D210"/>
      <c r="E210"/>
      <c r="F210"/>
      <c r="G210"/>
      <c r="H210"/>
      <c r="I210"/>
      <c r="J210"/>
      <c r="K210"/>
      <c r="L210"/>
    </row>
    <row r="211" spans="1:12">
      <c r="A211"/>
      <c r="B211"/>
      <c r="C211"/>
      <c r="D211"/>
      <c r="E211"/>
      <c r="F211"/>
      <c r="G211"/>
      <c r="H211"/>
      <c r="I211"/>
      <c r="J211"/>
      <c r="K211"/>
      <c r="L211"/>
    </row>
    <row r="212" spans="1:12">
      <c r="A212"/>
      <c r="B212"/>
      <c r="C212"/>
      <c r="D212"/>
      <c r="E212"/>
      <c r="F212"/>
      <c r="G212"/>
      <c r="H212"/>
      <c r="I212"/>
      <c r="J212"/>
      <c r="K212"/>
      <c r="L212"/>
    </row>
    <row r="213" spans="1:12">
      <c r="A213"/>
      <c r="B213"/>
      <c r="C213"/>
      <c r="D213"/>
      <c r="E213"/>
      <c r="F213"/>
      <c r="G213"/>
      <c r="H213"/>
      <c r="I213"/>
      <c r="J213"/>
      <c r="K213"/>
      <c r="L213"/>
    </row>
    <row r="214" spans="1:12">
      <c r="A214"/>
      <c r="B214"/>
      <c r="C214"/>
      <c r="D214"/>
      <c r="E214"/>
      <c r="F214"/>
      <c r="G214"/>
      <c r="H214"/>
      <c r="I214"/>
      <c r="J214"/>
      <c r="K214"/>
      <c r="L214"/>
    </row>
    <row r="215" spans="1:12">
      <c r="A215"/>
      <c r="B215"/>
      <c r="C215"/>
      <c r="D215"/>
      <c r="E215"/>
      <c r="F215"/>
      <c r="G215"/>
      <c r="H215"/>
      <c r="I215"/>
      <c r="J215"/>
      <c r="K215"/>
      <c r="L215"/>
    </row>
    <row r="216" spans="1:12">
      <c r="A216"/>
      <c r="B216"/>
      <c r="C216"/>
      <c r="D216"/>
      <c r="E216"/>
      <c r="F216"/>
      <c r="G216"/>
      <c r="H216"/>
      <c r="I216"/>
      <c r="J216"/>
      <c r="K216"/>
      <c r="L216"/>
    </row>
    <row r="217" spans="1:12">
      <c r="A217"/>
      <c r="B217"/>
      <c r="C217"/>
      <c r="D217"/>
      <c r="E217"/>
      <c r="F217"/>
      <c r="G217"/>
      <c r="H217"/>
      <c r="I217"/>
      <c r="J217"/>
      <c r="K217"/>
      <c r="L217"/>
    </row>
    <row r="218" spans="1:12">
      <c r="A218"/>
      <c r="B218"/>
      <c r="C218"/>
      <c r="D218"/>
      <c r="E218"/>
      <c r="F218"/>
      <c r="G218"/>
      <c r="H218"/>
      <c r="I218"/>
      <c r="J218"/>
      <c r="K218"/>
      <c r="L218"/>
    </row>
    <row r="219" spans="1:12">
      <c r="A219"/>
      <c r="B219"/>
      <c r="C219"/>
      <c r="D219"/>
      <c r="E219"/>
      <c r="F219"/>
      <c r="G219"/>
      <c r="H219"/>
      <c r="I219"/>
      <c r="J219"/>
      <c r="K219"/>
      <c r="L219"/>
    </row>
    <row r="220" spans="1:12">
      <c r="A220"/>
      <c r="B220"/>
      <c r="C220"/>
      <c r="D220"/>
      <c r="E220"/>
      <c r="F220"/>
      <c r="G220"/>
      <c r="H220"/>
      <c r="I220"/>
      <c r="J220"/>
      <c r="K220"/>
      <c r="L220"/>
    </row>
    <row r="221" spans="1:12">
      <c r="A221"/>
      <c r="B221"/>
      <c r="C221"/>
      <c r="D221"/>
      <c r="E221"/>
      <c r="F221"/>
      <c r="G221"/>
      <c r="H221"/>
      <c r="I221"/>
      <c r="J221"/>
      <c r="K221"/>
      <c r="L221"/>
    </row>
    <row r="222" spans="1:12">
      <c r="A222"/>
      <c r="B222"/>
      <c r="C222"/>
      <c r="D222"/>
      <c r="E222"/>
      <c r="F222"/>
      <c r="G222"/>
      <c r="H222"/>
      <c r="I222"/>
      <c r="J222"/>
      <c r="K222"/>
      <c r="L222"/>
    </row>
    <row r="223" spans="1:12">
      <c r="A223"/>
      <c r="B223"/>
      <c r="C223"/>
      <c r="D223"/>
      <c r="E223"/>
      <c r="F223"/>
      <c r="G223"/>
      <c r="H223"/>
      <c r="I223"/>
      <c r="J223"/>
      <c r="K223"/>
      <c r="L223"/>
    </row>
    <row r="224" spans="1:12">
      <c r="A224"/>
      <c r="B224"/>
      <c r="C224"/>
      <c r="D224"/>
      <c r="E224"/>
      <c r="F224"/>
      <c r="G224"/>
      <c r="H224"/>
      <c r="I224"/>
      <c r="J224"/>
      <c r="K224"/>
      <c r="L224"/>
    </row>
    <row r="225" spans="1:12">
      <c r="A225"/>
      <c r="B225"/>
      <c r="C225"/>
      <c r="D225"/>
      <c r="E225"/>
      <c r="F225"/>
      <c r="G225"/>
      <c r="H225"/>
      <c r="I225"/>
      <c r="J225"/>
      <c r="K225"/>
      <c r="L225"/>
    </row>
    <row r="226" spans="1:12">
      <c r="A226"/>
      <c r="B226"/>
      <c r="C226"/>
      <c r="D226"/>
      <c r="E226"/>
      <c r="F226"/>
      <c r="G226"/>
      <c r="H226"/>
      <c r="I226"/>
      <c r="J226"/>
      <c r="K226"/>
      <c r="L226"/>
    </row>
    <row r="227" spans="1:12">
      <c r="A227"/>
      <c r="B227"/>
      <c r="C227"/>
      <c r="D227"/>
      <c r="E227"/>
      <c r="F227"/>
      <c r="G227"/>
      <c r="H227"/>
      <c r="I227"/>
      <c r="J227"/>
      <c r="K227"/>
      <c r="L227"/>
    </row>
    <row r="228" spans="1:12">
      <c r="A228"/>
      <c r="B228"/>
      <c r="C228"/>
      <c r="D228"/>
      <c r="E228"/>
      <c r="F228"/>
      <c r="G228"/>
      <c r="H228"/>
      <c r="I228"/>
      <c r="J228"/>
      <c r="K228"/>
      <c r="L228"/>
    </row>
    <row r="229" spans="1:12">
      <c r="A229"/>
      <c r="B229"/>
      <c r="C229"/>
      <c r="D229"/>
      <c r="E229"/>
      <c r="F229"/>
      <c r="G229"/>
      <c r="H229"/>
      <c r="I229"/>
      <c r="J229"/>
      <c r="K229"/>
      <c r="L229"/>
    </row>
    <row r="230" spans="1:12">
      <c r="A230"/>
      <c r="B230"/>
      <c r="C230"/>
      <c r="D230"/>
      <c r="E230"/>
      <c r="F230"/>
      <c r="G230"/>
      <c r="H230"/>
      <c r="I230"/>
      <c r="J230"/>
      <c r="K230"/>
      <c r="L230"/>
    </row>
    <row r="231" spans="1:12">
      <c r="A231"/>
      <c r="B231"/>
      <c r="C231"/>
      <c r="D231"/>
      <c r="E231"/>
      <c r="F231"/>
      <c r="G231"/>
      <c r="H231"/>
      <c r="I231"/>
      <c r="J231"/>
      <c r="K231"/>
      <c r="L231"/>
    </row>
    <row r="232" spans="1:12">
      <c r="A232"/>
      <c r="B232"/>
      <c r="C232"/>
      <c r="D232"/>
      <c r="E232"/>
      <c r="F232"/>
      <c r="G232"/>
      <c r="H232"/>
      <c r="I232"/>
      <c r="J232"/>
      <c r="K232"/>
      <c r="L232"/>
    </row>
    <row r="233" spans="1:12">
      <c r="A233"/>
      <c r="B233"/>
      <c r="C233"/>
      <c r="D233"/>
      <c r="E233"/>
      <c r="F233"/>
      <c r="G233"/>
      <c r="H233"/>
      <c r="I233"/>
      <c r="J233"/>
      <c r="K233"/>
      <c r="L233"/>
    </row>
    <row r="234" spans="1:12">
      <c r="A234"/>
      <c r="B234"/>
      <c r="C234"/>
      <c r="D234"/>
      <c r="E234"/>
      <c r="F234"/>
      <c r="G234"/>
      <c r="H234"/>
      <c r="I234"/>
      <c r="J234"/>
      <c r="K234"/>
      <c r="L234"/>
    </row>
    <row r="235" spans="1:12">
      <c r="A235"/>
      <c r="B235"/>
      <c r="C235"/>
      <c r="D235"/>
      <c r="E235"/>
      <c r="F235"/>
      <c r="G235"/>
      <c r="H235"/>
      <c r="I235"/>
      <c r="J235"/>
      <c r="K235"/>
      <c r="L235"/>
    </row>
    <row r="236" spans="1:12">
      <c r="A236"/>
      <c r="B236"/>
      <c r="C236"/>
      <c r="D236"/>
      <c r="E236"/>
      <c r="F236"/>
      <c r="G236"/>
      <c r="H236"/>
      <c r="I236"/>
      <c r="J236"/>
      <c r="K236"/>
      <c r="L236"/>
    </row>
    <row r="237" spans="1:12">
      <c r="A237"/>
      <c r="B237"/>
      <c r="C237"/>
      <c r="D237"/>
      <c r="E237"/>
      <c r="F237"/>
      <c r="G237"/>
      <c r="H237"/>
      <c r="I237"/>
      <c r="J237"/>
      <c r="K237"/>
      <c r="L237"/>
    </row>
    <row r="238" spans="1:12">
      <c r="A238"/>
      <c r="B238"/>
      <c r="C238"/>
      <c r="D238"/>
      <c r="E238"/>
      <c r="F238"/>
      <c r="G238"/>
      <c r="H238"/>
      <c r="I238"/>
      <c r="J238"/>
      <c r="K238"/>
      <c r="L238"/>
    </row>
    <row r="239" spans="1:12">
      <c r="A239"/>
      <c r="B239"/>
      <c r="C239"/>
      <c r="D239"/>
      <c r="E239"/>
      <c r="F239"/>
      <c r="G239"/>
      <c r="H239"/>
      <c r="I239"/>
      <c r="J239"/>
      <c r="K239"/>
      <c r="L239"/>
    </row>
    <row r="240" spans="1:12">
      <c r="A240"/>
      <c r="B240"/>
      <c r="C240"/>
      <c r="D240"/>
      <c r="E240"/>
      <c r="F240"/>
      <c r="G240"/>
      <c r="H240"/>
      <c r="I240"/>
      <c r="J240"/>
      <c r="K240"/>
      <c r="L240"/>
    </row>
    <row r="241" spans="1:12">
      <c r="A241"/>
      <c r="B241"/>
      <c r="C241"/>
      <c r="D241"/>
      <c r="E241"/>
      <c r="F241"/>
      <c r="G241"/>
      <c r="H241"/>
      <c r="I241"/>
      <c r="J241"/>
      <c r="K241"/>
      <c r="L241"/>
    </row>
    <row r="242" spans="1:12">
      <c r="A242"/>
      <c r="B242"/>
      <c r="C242"/>
      <c r="D242"/>
      <c r="E242"/>
      <c r="F242"/>
      <c r="G242"/>
      <c r="H242"/>
      <c r="I242"/>
      <c r="J242"/>
      <c r="K242"/>
      <c r="L242"/>
    </row>
    <row r="243" spans="1:12">
      <c r="A243"/>
      <c r="B243"/>
      <c r="C243"/>
      <c r="D243"/>
      <c r="E243"/>
      <c r="F243"/>
      <c r="G243"/>
      <c r="H243"/>
      <c r="I243"/>
      <c r="J243"/>
      <c r="K243"/>
      <c r="L243"/>
    </row>
    <row r="244" spans="1:12">
      <c r="A244"/>
      <c r="B244"/>
      <c r="C244"/>
      <c r="D244"/>
      <c r="E244"/>
      <c r="F244"/>
      <c r="G244"/>
      <c r="H244"/>
      <c r="I244"/>
      <c r="J244"/>
      <c r="K244"/>
      <c r="L244"/>
    </row>
    <row r="245" spans="1:12">
      <c r="A245"/>
      <c r="B245"/>
      <c r="C245"/>
      <c r="D245"/>
      <c r="E245"/>
      <c r="F245"/>
      <c r="G245"/>
      <c r="H245"/>
      <c r="I245"/>
      <c r="J245"/>
      <c r="K245"/>
      <c r="L245"/>
    </row>
    <row r="246" spans="1:12">
      <c r="A246"/>
      <c r="B246"/>
      <c r="C246"/>
      <c r="D246"/>
      <c r="E246"/>
      <c r="F246"/>
      <c r="G246"/>
      <c r="H246"/>
      <c r="I246"/>
      <c r="J246"/>
      <c r="K246"/>
      <c r="L246"/>
    </row>
    <row r="247" spans="1:12">
      <c r="A247"/>
      <c r="B247"/>
      <c r="C247"/>
      <c r="D247"/>
      <c r="E247"/>
      <c r="F247"/>
      <c r="G247"/>
      <c r="H247"/>
      <c r="I247"/>
      <c r="J247"/>
      <c r="K247"/>
      <c r="L247"/>
    </row>
    <row r="248" spans="1:12">
      <c r="A248"/>
      <c r="B248"/>
      <c r="C248"/>
      <c r="D248"/>
      <c r="E248"/>
      <c r="F248"/>
      <c r="G248"/>
      <c r="H248"/>
      <c r="I248"/>
      <c r="J248"/>
      <c r="K248"/>
      <c r="L248"/>
    </row>
    <row r="249" spans="1:12">
      <c r="A249"/>
      <c r="B249"/>
      <c r="C249"/>
      <c r="D249"/>
      <c r="E249"/>
      <c r="F249"/>
      <c r="G249"/>
      <c r="H249"/>
      <c r="I249"/>
      <c r="J249"/>
      <c r="K249"/>
      <c r="L249"/>
    </row>
    <row r="250" spans="1:12">
      <c r="A250"/>
      <c r="B250"/>
      <c r="C250"/>
      <c r="D250"/>
      <c r="E250"/>
      <c r="F250"/>
      <c r="G250"/>
      <c r="H250"/>
      <c r="I250"/>
      <c r="J250"/>
      <c r="K250"/>
      <c r="L250"/>
    </row>
    <row r="251" spans="1:12">
      <c r="A251"/>
      <c r="B251"/>
      <c r="C251"/>
      <c r="D251"/>
      <c r="E251"/>
      <c r="F251"/>
      <c r="G251"/>
      <c r="H251"/>
      <c r="I251"/>
      <c r="J251"/>
      <c r="K251"/>
      <c r="L251"/>
    </row>
    <row r="252" spans="1:12">
      <c r="A252"/>
      <c r="B252"/>
      <c r="C252"/>
      <c r="D252"/>
      <c r="E252"/>
      <c r="F252"/>
      <c r="G252"/>
      <c r="H252"/>
      <c r="I252"/>
      <c r="J252"/>
      <c r="K252"/>
      <c r="L252"/>
    </row>
    <row r="253" spans="1:12">
      <c r="A253"/>
      <c r="B253"/>
      <c r="C253"/>
      <c r="D253"/>
      <c r="E253"/>
      <c r="F253"/>
      <c r="G253"/>
      <c r="H253"/>
      <c r="I253"/>
      <c r="J253"/>
      <c r="K253"/>
      <c r="L253"/>
    </row>
    <row r="254" spans="1:12">
      <c r="A254"/>
      <c r="B254"/>
      <c r="C254"/>
      <c r="D254"/>
      <c r="E254"/>
      <c r="F254"/>
      <c r="G254"/>
      <c r="H254"/>
      <c r="I254"/>
      <c r="J254"/>
      <c r="K254"/>
      <c r="L254"/>
    </row>
    <row r="255" spans="1:12">
      <c r="A255"/>
      <c r="B255"/>
      <c r="C255"/>
      <c r="D255"/>
      <c r="E255"/>
      <c r="F255"/>
      <c r="G255"/>
      <c r="H255"/>
      <c r="I255"/>
      <c r="J255"/>
      <c r="K255"/>
      <c r="L255"/>
    </row>
    <row r="256" spans="1:12">
      <c r="A256"/>
      <c r="B256"/>
      <c r="C256"/>
      <c r="D256"/>
      <c r="E256"/>
      <c r="F256"/>
      <c r="G256"/>
      <c r="H256"/>
      <c r="I256"/>
      <c r="J256"/>
      <c r="K256"/>
      <c r="L256"/>
    </row>
    <row r="257" spans="1:12">
      <c r="A257"/>
      <c r="B257"/>
      <c r="C257"/>
      <c r="D257"/>
      <c r="E257"/>
      <c r="F257"/>
      <c r="G257"/>
      <c r="H257"/>
      <c r="I257"/>
      <c r="J257"/>
      <c r="K257"/>
      <c r="L257"/>
    </row>
    <row r="258" spans="1:12">
      <c r="A258"/>
      <c r="B258"/>
      <c r="C258"/>
      <c r="D258"/>
      <c r="E258"/>
      <c r="F258"/>
      <c r="G258"/>
      <c r="H258"/>
      <c r="I258"/>
      <c r="J258"/>
      <c r="K258"/>
      <c r="L258"/>
    </row>
    <row r="259" spans="1:12">
      <c r="A259"/>
      <c r="B259"/>
      <c r="C259"/>
      <c r="D259"/>
      <c r="E259"/>
      <c r="F259"/>
      <c r="G259"/>
      <c r="H259"/>
      <c r="I259"/>
      <c r="J259"/>
      <c r="K259"/>
      <c r="L259"/>
    </row>
    <row r="260" spans="1:12">
      <c r="A260"/>
      <c r="B260"/>
      <c r="C260"/>
      <c r="D260"/>
      <c r="E260"/>
      <c r="F260"/>
      <c r="G260"/>
      <c r="H260"/>
      <c r="I260"/>
      <c r="J260"/>
      <c r="K260"/>
      <c r="L260"/>
    </row>
    <row r="261" spans="1:12">
      <c r="A261"/>
      <c r="B261"/>
      <c r="C261"/>
      <c r="D261"/>
      <c r="E261"/>
      <c r="F261"/>
      <c r="G261"/>
      <c r="H261"/>
      <c r="I261"/>
      <c r="J261"/>
      <c r="K261"/>
      <c r="L261"/>
    </row>
    <row r="262" spans="1:12">
      <c r="A262"/>
      <c r="B262"/>
      <c r="C262"/>
      <c r="D262"/>
      <c r="E262"/>
      <c r="F262"/>
      <c r="G262"/>
      <c r="H262"/>
      <c r="I262"/>
      <c r="J262"/>
      <c r="K262"/>
      <c r="L262"/>
    </row>
    <row r="263" spans="1:12">
      <c r="A263"/>
      <c r="B263"/>
      <c r="C263"/>
      <c r="D263"/>
      <c r="E263"/>
      <c r="F263"/>
      <c r="G263"/>
      <c r="H263"/>
      <c r="I263"/>
      <c r="J263"/>
      <c r="K263"/>
      <c r="L263"/>
    </row>
    <row r="264" spans="1:12">
      <c r="A264"/>
      <c r="B264"/>
      <c r="C264"/>
      <c r="D264"/>
      <c r="E264"/>
      <c r="F264"/>
      <c r="G264"/>
      <c r="H264"/>
      <c r="I264"/>
      <c r="J264"/>
      <c r="K264"/>
      <c r="L264"/>
    </row>
    <row r="265" spans="1:12">
      <c r="A265"/>
      <c r="B265"/>
      <c r="C265"/>
      <c r="D265"/>
      <c r="E265"/>
      <c r="F265"/>
      <c r="G265"/>
      <c r="H265"/>
      <c r="I265"/>
      <c r="J265"/>
      <c r="K265"/>
      <c r="L265"/>
    </row>
    <row r="266" spans="1:12">
      <c r="A266"/>
      <c r="B266"/>
      <c r="C266"/>
      <c r="D266"/>
      <c r="E266"/>
      <c r="F266"/>
      <c r="G266"/>
      <c r="H266"/>
      <c r="I266"/>
      <c r="J266"/>
      <c r="K266"/>
      <c r="L266"/>
    </row>
    <row r="267" spans="1:12">
      <c r="A267"/>
      <c r="B267"/>
      <c r="C267"/>
      <c r="D267"/>
      <c r="E267"/>
      <c r="F267"/>
      <c r="G267"/>
      <c r="H267"/>
      <c r="I267"/>
      <c r="J267"/>
      <c r="K267"/>
      <c r="L267"/>
    </row>
    <row r="268" spans="1:12">
      <c r="A268"/>
      <c r="B268"/>
      <c r="C268"/>
      <c r="D268"/>
      <c r="E268"/>
      <c r="F268"/>
      <c r="G268"/>
      <c r="H268"/>
      <c r="I268"/>
      <c r="J268"/>
      <c r="K268"/>
      <c r="L268"/>
    </row>
    <row r="269" spans="1:12">
      <c r="A269"/>
      <c r="B269"/>
      <c r="C269"/>
      <c r="D269"/>
      <c r="E269"/>
      <c r="F269"/>
      <c r="G269"/>
      <c r="H269"/>
      <c r="I269"/>
      <c r="J269"/>
      <c r="K269"/>
      <c r="L269"/>
    </row>
    <row r="270" spans="1:12">
      <c r="A270"/>
      <c r="B270"/>
      <c r="C270"/>
      <c r="D270"/>
      <c r="E270"/>
      <c r="F270"/>
      <c r="G270"/>
      <c r="H270"/>
      <c r="I270"/>
      <c r="J270"/>
      <c r="K270"/>
      <c r="L270"/>
    </row>
    <row r="271" spans="1:12">
      <c r="A271"/>
      <c r="B271"/>
      <c r="C271"/>
      <c r="D271"/>
      <c r="E271"/>
      <c r="F271"/>
      <c r="G271"/>
      <c r="H271"/>
      <c r="I271"/>
      <c r="J271"/>
      <c r="K271"/>
      <c r="L271"/>
    </row>
    <row r="272" spans="1:12">
      <c r="A272"/>
      <c r="B272"/>
      <c r="C272"/>
      <c r="D272"/>
      <c r="E272"/>
      <c r="F272"/>
      <c r="G272"/>
      <c r="H272"/>
      <c r="I272"/>
      <c r="J272"/>
      <c r="K272"/>
      <c r="L272"/>
    </row>
    <row r="273" spans="1:12">
      <c r="A273"/>
      <c r="B273"/>
      <c r="C273"/>
      <c r="D273"/>
      <c r="E273"/>
      <c r="F273"/>
      <c r="G273"/>
      <c r="H273"/>
      <c r="I273"/>
      <c r="J273"/>
      <c r="K273"/>
      <c r="L273"/>
    </row>
    <row r="274" spans="1:12">
      <c r="A274"/>
      <c r="B274"/>
      <c r="C274"/>
      <c r="D274"/>
      <c r="E274"/>
      <c r="F274"/>
      <c r="G274"/>
      <c r="H274"/>
      <c r="I274"/>
      <c r="J274"/>
      <c r="K274"/>
      <c r="L274"/>
    </row>
    <row r="275" spans="1:12">
      <c r="A275"/>
      <c r="B275"/>
      <c r="C275"/>
      <c r="D275"/>
      <c r="E275"/>
      <c r="F275"/>
      <c r="G275"/>
      <c r="H275"/>
      <c r="I275"/>
      <c r="J275"/>
      <c r="K275"/>
      <c r="L275"/>
    </row>
    <row r="276" spans="1:12">
      <c r="A276"/>
      <c r="B276"/>
      <c r="C276"/>
      <c r="D276"/>
      <c r="E276"/>
      <c r="F276"/>
      <c r="G276"/>
      <c r="H276"/>
      <c r="I276"/>
      <c r="J276"/>
      <c r="K276"/>
      <c r="L276"/>
    </row>
    <row r="277" spans="1:12">
      <c r="A277"/>
      <c r="B277"/>
      <c r="C277"/>
      <c r="D277"/>
      <c r="E277"/>
      <c r="F277"/>
      <c r="G277"/>
      <c r="H277"/>
      <c r="I277"/>
      <c r="J277"/>
      <c r="K277"/>
      <c r="L277"/>
    </row>
    <row r="278" spans="1:12">
      <c r="A278"/>
      <c r="B278"/>
      <c r="C278"/>
      <c r="D278"/>
      <c r="E278"/>
      <c r="F278"/>
      <c r="G278"/>
      <c r="H278"/>
      <c r="I278"/>
      <c r="J278"/>
      <c r="K278"/>
      <c r="L278"/>
    </row>
    <row r="279" spans="1:12">
      <c r="A279"/>
      <c r="B279"/>
      <c r="C279"/>
      <c r="D279"/>
      <c r="E279"/>
      <c r="F279"/>
      <c r="G279"/>
      <c r="H279"/>
      <c r="I279"/>
      <c r="J279"/>
      <c r="K279"/>
      <c r="L279"/>
    </row>
    <row r="280" spans="1:12">
      <c r="A280"/>
      <c r="B280"/>
      <c r="C280"/>
      <c r="D280"/>
      <c r="E280"/>
      <c r="F280"/>
      <c r="G280"/>
      <c r="H280"/>
      <c r="I280"/>
      <c r="J280"/>
      <c r="K280"/>
      <c r="L280"/>
    </row>
    <row r="281" spans="1:12">
      <c r="A281"/>
      <c r="B281"/>
      <c r="C281"/>
      <c r="D281"/>
      <c r="E281"/>
      <c r="F281"/>
      <c r="G281"/>
      <c r="H281"/>
      <c r="I281"/>
      <c r="J281"/>
      <c r="K281"/>
      <c r="L281"/>
    </row>
    <row r="282" spans="1:12">
      <c r="A282"/>
      <c r="B282"/>
      <c r="C282"/>
      <c r="D282"/>
      <c r="E282"/>
      <c r="F282"/>
      <c r="G282"/>
      <c r="H282"/>
      <c r="I282"/>
      <c r="J282"/>
      <c r="K282"/>
      <c r="L282"/>
    </row>
    <row r="283" spans="1:12">
      <c r="A283"/>
      <c r="B283"/>
      <c r="C283"/>
      <c r="D283"/>
      <c r="E283"/>
      <c r="F283"/>
      <c r="G283"/>
      <c r="H283"/>
      <c r="I283"/>
      <c r="J283"/>
      <c r="K283"/>
      <c r="L283"/>
    </row>
    <row r="284" spans="1:12">
      <c r="A284"/>
      <c r="B284"/>
      <c r="C284"/>
      <c r="D284"/>
      <c r="E284"/>
      <c r="F284"/>
      <c r="G284"/>
      <c r="H284"/>
      <c r="I284"/>
      <c r="J284"/>
      <c r="K284"/>
      <c r="L284"/>
    </row>
    <row r="285" spans="1:12">
      <c r="A285"/>
      <c r="B285"/>
      <c r="C285"/>
      <c r="D285"/>
      <c r="E285"/>
      <c r="F285"/>
      <c r="G285"/>
      <c r="H285"/>
      <c r="I285"/>
      <c r="J285"/>
      <c r="K285"/>
      <c r="L285"/>
    </row>
    <row r="286" spans="1:12">
      <c r="A286"/>
      <c r="B286"/>
      <c r="C286"/>
      <c r="D286"/>
      <c r="E286"/>
      <c r="F286"/>
      <c r="G286"/>
      <c r="H286"/>
      <c r="I286"/>
      <c r="J286"/>
      <c r="K286"/>
      <c r="L286"/>
    </row>
    <row r="287" spans="1:12">
      <c r="A287"/>
      <c r="B287"/>
      <c r="C287"/>
      <c r="D287"/>
      <c r="E287"/>
      <c r="F287"/>
      <c r="G287"/>
      <c r="H287"/>
      <c r="I287"/>
      <c r="J287"/>
      <c r="K287"/>
      <c r="L287"/>
    </row>
    <row r="288" spans="1:12">
      <c r="A288"/>
      <c r="B288"/>
      <c r="C288"/>
      <c r="D288"/>
      <c r="E288"/>
      <c r="F288"/>
      <c r="G288"/>
      <c r="H288"/>
      <c r="I288"/>
      <c r="J288"/>
      <c r="K288"/>
      <c r="L288"/>
    </row>
    <row r="289" spans="1:12">
      <c r="A289"/>
      <c r="B289"/>
      <c r="C289"/>
      <c r="D289"/>
      <c r="E289"/>
      <c r="F289"/>
      <c r="G289"/>
      <c r="H289"/>
      <c r="I289"/>
      <c r="J289"/>
      <c r="K289"/>
      <c r="L289"/>
    </row>
    <row r="290" spans="1:12">
      <c r="A290"/>
      <c r="B290"/>
      <c r="C290"/>
      <c r="D290"/>
      <c r="E290"/>
      <c r="F290"/>
      <c r="G290"/>
      <c r="H290"/>
      <c r="I290"/>
      <c r="J290"/>
      <c r="K290"/>
      <c r="L290"/>
    </row>
    <row r="291" spans="1:12">
      <c r="A291"/>
      <c r="B291"/>
      <c r="C291"/>
      <c r="D291"/>
      <c r="E291"/>
      <c r="F291"/>
      <c r="G291"/>
      <c r="H291"/>
      <c r="I291"/>
      <c r="J291"/>
      <c r="K291"/>
      <c r="L291"/>
    </row>
    <row r="292" spans="1:12">
      <c r="A292"/>
      <c r="B292"/>
      <c r="C292"/>
      <c r="D292"/>
      <c r="E292"/>
      <c r="F292"/>
      <c r="G292"/>
      <c r="H292"/>
      <c r="I292"/>
      <c r="J292"/>
      <c r="K292"/>
      <c r="L292"/>
    </row>
    <row r="293" spans="1:12">
      <c r="A293"/>
      <c r="B293"/>
      <c r="C293"/>
      <c r="D293"/>
      <c r="E293"/>
      <c r="F293"/>
      <c r="G293"/>
      <c r="H293"/>
      <c r="I293"/>
      <c r="J293"/>
      <c r="K293"/>
      <c r="L293"/>
    </row>
    <row r="294" spans="1:12">
      <c r="A294"/>
      <c r="B294"/>
      <c r="C294"/>
      <c r="D294"/>
      <c r="E294"/>
      <c r="F294"/>
      <c r="G294"/>
      <c r="H294"/>
      <c r="I294"/>
      <c r="J294"/>
      <c r="K294"/>
      <c r="L294"/>
    </row>
    <row r="295" spans="1:12">
      <c r="A295"/>
      <c r="B295"/>
      <c r="C295"/>
      <c r="D295"/>
      <c r="E295"/>
      <c r="F295"/>
      <c r="G295"/>
      <c r="H295"/>
      <c r="I295"/>
      <c r="J295"/>
      <c r="K295"/>
      <c r="L295"/>
    </row>
    <row r="296" spans="1:12">
      <c r="A296"/>
      <c r="B296"/>
      <c r="C296"/>
      <c r="D296"/>
      <c r="E296"/>
      <c r="F296"/>
      <c r="G296"/>
      <c r="H296"/>
      <c r="I296"/>
      <c r="J296"/>
      <c r="K296"/>
      <c r="L296"/>
    </row>
    <row r="297" spans="1:12">
      <c r="A297"/>
      <c r="B297"/>
      <c r="C297"/>
      <c r="D297"/>
      <c r="E297"/>
      <c r="F297"/>
      <c r="G297"/>
      <c r="H297"/>
      <c r="I297"/>
      <c r="J297"/>
      <c r="K297"/>
      <c r="L297"/>
    </row>
    <row r="298" spans="1:12">
      <c r="A298"/>
      <c r="B298"/>
      <c r="C298"/>
      <c r="D298"/>
      <c r="E298"/>
      <c r="F298"/>
      <c r="G298"/>
      <c r="H298"/>
      <c r="I298"/>
      <c r="J298"/>
      <c r="K298"/>
      <c r="L298"/>
    </row>
    <row r="299" spans="1:12">
      <c r="A299"/>
      <c r="B299"/>
      <c r="C299"/>
      <c r="D299"/>
      <c r="E299"/>
      <c r="F299"/>
      <c r="G299"/>
      <c r="H299"/>
      <c r="I299"/>
      <c r="J299"/>
      <c r="K299"/>
      <c r="L299"/>
    </row>
    <row r="300" spans="1:12">
      <c r="A300"/>
      <c r="B300"/>
      <c r="C300"/>
      <c r="D300"/>
      <c r="E300"/>
      <c r="F300"/>
      <c r="G300"/>
      <c r="H300"/>
      <c r="I300"/>
      <c r="J300"/>
      <c r="K300"/>
      <c r="L300"/>
    </row>
    <row r="301" spans="1:12">
      <c r="A301"/>
      <c r="B301"/>
      <c r="C301"/>
      <c r="D301"/>
      <c r="E301"/>
      <c r="F301"/>
      <c r="G301"/>
      <c r="H301"/>
      <c r="I301"/>
      <c r="J301"/>
      <c r="K301"/>
      <c r="L301"/>
    </row>
    <row r="302" spans="1:12">
      <c r="A302"/>
      <c r="B302"/>
      <c r="C302"/>
      <c r="D302"/>
      <c r="E302"/>
      <c r="F302"/>
      <c r="G302"/>
      <c r="H302"/>
      <c r="I302"/>
      <c r="J302"/>
      <c r="K302"/>
      <c r="L302"/>
    </row>
    <row r="303" spans="1:12">
      <c r="A303"/>
      <c r="B303"/>
      <c r="C303"/>
      <c r="D303"/>
      <c r="E303"/>
      <c r="F303"/>
      <c r="G303"/>
      <c r="H303"/>
      <c r="I303"/>
      <c r="J303"/>
      <c r="K303"/>
      <c r="L303"/>
    </row>
    <row r="304" spans="1:12">
      <c r="A304"/>
      <c r="B304"/>
      <c r="C304"/>
      <c r="D304"/>
      <c r="E304"/>
      <c r="F304"/>
      <c r="G304"/>
      <c r="H304"/>
      <c r="I304"/>
      <c r="J304"/>
      <c r="K304"/>
      <c r="L304"/>
    </row>
    <row r="305" spans="1:12">
      <c r="A305"/>
      <c r="B305"/>
      <c r="C305"/>
      <c r="D305"/>
      <c r="E305"/>
      <c r="F305"/>
      <c r="G305"/>
      <c r="H305"/>
      <c r="I305"/>
      <c r="J305"/>
      <c r="K305"/>
      <c r="L305"/>
    </row>
    <row r="306" spans="1:12">
      <c r="A306"/>
      <c r="B306"/>
      <c r="C306"/>
      <c r="D306"/>
      <c r="E306"/>
      <c r="F306"/>
      <c r="G306"/>
      <c r="H306"/>
      <c r="I306"/>
      <c r="J306"/>
      <c r="K306"/>
      <c r="L306"/>
    </row>
    <row r="307" spans="1:12">
      <c r="A307"/>
      <c r="B307"/>
      <c r="C307"/>
      <c r="D307"/>
      <c r="E307"/>
      <c r="F307"/>
      <c r="G307"/>
      <c r="H307"/>
      <c r="I307"/>
      <c r="J307"/>
      <c r="K307"/>
      <c r="L307"/>
    </row>
    <row r="308" spans="1:12">
      <c r="A308"/>
      <c r="B308"/>
      <c r="C308"/>
      <c r="D308"/>
      <c r="E308"/>
      <c r="F308"/>
      <c r="G308"/>
      <c r="H308"/>
      <c r="I308"/>
      <c r="J308"/>
      <c r="K308"/>
      <c r="L308"/>
    </row>
    <row r="309" spans="1:12">
      <c r="A309"/>
      <c r="B309"/>
      <c r="C309"/>
      <c r="D309"/>
      <c r="E309"/>
      <c r="F309"/>
      <c r="G309"/>
      <c r="H309"/>
      <c r="I309"/>
      <c r="J309"/>
      <c r="K309"/>
      <c r="L309"/>
    </row>
    <row r="310" spans="1:12">
      <c r="A310"/>
      <c r="B310"/>
      <c r="C310"/>
      <c r="D310"/>
      <c r="E310"/>
      <c r="F310"/>
      <c r="G310"/>
      <c r="H310"/>
      <c r="I310"/>
      <c r="J310"/>
      <c r="K310"/>
      <c r="L310"/>
    </row>
    <row r="311" spans="1:12">
      <c r="A311"/>
      <c r="B311"/>
      <c r="C311"/>
      <c r="D311"/>
      <c r="E311"/>
      <c r="F311"/>
      <c r="G311"/>
      <c r="H311"/>
      <c r="I311"/>
      <c r="J311"/>
      <c r="K311"/>
      <c r="L311"/>
    </row>
    <row r="312" spans="1:12">
      <c r="A312"/>
      <c r="B312"/>
      <c r="C312"/>
      <c r="D312"/>
      <c r="E312"/>
      <c r="F312"/>
      <c r="G312"/>
      <c r="H312"/>
      <c r="I312"/>
      <c r="J312"/>
      <c r="K312"/>
      <c r="L312"/>
    </row>
    <row r="313" spans="1:12">
      <c r="A313"/>
      <c r="B313"/>
      <c r="C313"/>
      <c r="D313"/>
      <c r="E313"/>
      <c r="F313"/>
      <c r="G313"/>
      <c r="H313"/>
      <c r="I313"/>
      <c r="J313"/>
      <c r="K313"/>
      <c r="L313"/>
    </row>
    <row r="314" spans="1:12">
      <c r="A314"/>
      <c r="B314"/>
      <c r="C314"/>
      <c r="D314"/>
      <c r="E314"/>
      <c r="F314"/>
      <c r="G314"/>
      <c r="H314"/>
      <c r="I314"/>
      <c r="J314"/>
      <c r="K314"/>
      <c r="L314"/>
    </row>
    <row r="315" spans="1:12">
      <c r="A315"/>
      <c r="B315"/>
      <c r="C315"/>
      <c r="D315"/>
      <c r="E315"/>
      <c r="F315"/>
      <c r="G315"/>
      <c r="H315"/>
      <c r="I315"/>
      <c r="J315"/>
      <c r="K315"/>
      <c r="L315"/>
    </row>
    <row r="316" spans="1:12">
      <c r="A316"/>
      <c r="B316"/>
      <c r="C316"/>
      <c r="D316"/>
      <c r="E316"/>
      <c r="F316"/>
      <c r="G316"/>
      <c r="H316"/>
      <c r="I316"/>
      <c r="J316"/>
      <c r="K316"/>
      <c r="L316"/>
    </row>
    <row r="317" spans="1:12">
      <c r="A317"/>
      <c r="B317"/>
      <c r="C317"/>
      <c r="D317"/>
      <c r="E317"/>
      <c r="F317"/>
      <c r="G317"/>
      <c r="H317"/>
      <c r="I317"/>
      <c r="J317"/>
      <c r="K317"/>
      <c r="L317"/>
    </row>
    <row r="318" spans="1:12">
      <c r="A318"/>
      <c r="B318"/>
      <c r="C318"/>
      <c r="D318"/>
      <c r="E318"/>
      <c r="F318"/>
      <c r="G318"/>
      <c r="H318"/>
      <c r="I318"/>
      <c r="J318"/>
      <c r="K318"/>
      <c r="L318"/>
    </row>
    <row r="319" spans="1:12">
      <c r="A319"/>
      <c r="B319"/>
      <c r="C319"/>
      <c r="D319"/>
      <c r="E319"/>
      <c r="F319"/>
      <c r="G319"/>
      <c r="H319"/>
      <c r="I319"/>
      <c r="J319"/>
      <c r="K319"/>
      <c r="L319"/>
    </row>
    <row r="320" spans="1:12">
      <c r="A320"/>
      <c r="B320"/>
      <c r="C320"/>
      <c r="D320"/>
      <c r="E320"/>
      <c r="F320"/>
      <c r="G320"/>
      <c r="H320"/>
      <c r="I320"/>
      <c r="J320"/>
      <c r="K320"/>
      <c r="L320"/>
    </row>
    <row r="321" spans="1:12">
      <c r="A321"/>
      <c r="B321"/>
      <c r="C321"/>
      <c r="D321"/>
      <c r="E321"/>
      <c r="F321"/>
      <c r="G321"/>
      <c r="H321"/>
      <c r="I321"/>
      <c r="J321"/>
      <c r="K321"/>
      <c r="L321"/>
    </row>
    <row r="322" spans="1:12">
      <c r="A322"/>
      <c r="B322"/>
      <c r="C322"/>
      <c r="D322"/>
      <c r="E322"/>
      <c r="F322"/>
      <c r="G322"/>
      <c r="H322"/>
      <c r="I322"/>
      <c r="J322"/>
      <c r="K322"/>
      <c r="L322"/>
    </row>
    <row r="323" spans="1:12">
      <c r="A323"/>
      <c r="B323"/>
      <c r="C323"/>
      <c r="D323"/>
      <c r="E323"/>
      <c r="F323"/>
      <c r="G323"/>
      <c r="H323"/>
      <c r="I323"/>
      <c r="J323"/>
      <c r="K323"/>
      <c r="L323"/>
    </row>
    <row r="324" spans="1:12">
      <c r="A324"/>
      <c r="B324"/>
      <c r="C324"/>
      <c r="D324"/>
      <c r="E324"/>
      <c r="F324"/>
      <c r="G324"/>
      <c r="H324"/>
      <c r="I324"/>
      <c r="J324"/>
      <c r="K324"/>
      <c r="L324"/>
    </row>
    <row r="325" spans="1:12">
      <c r="A325"/>
      <c r="B325"/>
      <c r="C325"/>
      <c r="D325"/>
      <c r="E325"/>
      <c r="F325"/>
      <c r="G325"/>
      <c r="H325"/>
      <c r="I325"/>
      <c r="J325"/>
      <c r="K325"/>
      <c r="L325"/>
    </row>
    <row r="326" spans="1:12">
      <c r="A326"/>
      <c r="B326"/>
      <c r="C326"/>
      <c r="D326"/>
      <c r="E326"/>
      <c r="F326"/>
      <c r="G326"/>
      <c r="H326"/>
      <c r="I326"/>
      <c r="J326"/>
      <c r="K326"/>
      <c r="L326"/>
    </row>
    <row r="327" spans="1:12">
      <c r="A327"/>
      <c r="B327"/>
      <c r="C327"/>
      <c r="D327"/>
      <c r="E327"/>
      <c r="F327"/>
      <c r="G327"/>
      <c r="H327"/>
      <c r="I327"/>
      <c r="J327"/>
      <c r="K327"/>
      <c r="L327"/>
    </row>
    <row r="328" spans="1:12">
      <c r="A328"/>
      <c r="B328"/>
      <c r="C328"/>
      <c r="D328"/>
      <c r="E328"/>
      <c r="F328"/>
      <c r="G328"/>
      <c r="H328"/>
      <c r="I328"/>
      <c r="J328"/>
      <c r="K328"/>
      <c r="L328"/>
    </row>
    <row r="329" spans="1:12">
      <c r="A329"/>
      <c r="B329"/>
      <c r="C329"/>
      <c r="D329"/>
      <c r="E329"/>
      <c r="F329"/>
      <c r="G329"/>
      <c r="H329"/>
      <c r="I329"/>
      <c r="J329"/>
      <c r="K329"/>
      <c r="L329"/>
    </row>
    <row r="330" spans="1:12">
      <c r="A330"/>
      <c r="B330"/>
      <c r="C330"/>
      <c r="D330"/>
      <c r="E330"/>
      <c r="F330"/>
      <c r="G330"/>
      <c r="H330"/>
      <c r="I330"/>
      <c r="J330"/>
      <c r="K330"/>
      <c r="L330"/>
    </row>
    <row r="331" spans="1:12">
      <c r="A331"/>
      <c r="B331"/>
      <c r="C331"/>
      <c r="D331"/>
      <c r="E331"/>
      <c r="F331"/>
      <c r="G331"/>
      <c r="H331"/>
      <c r="I331"/>
      <c r="J331"/>
      <c r="K331"/>
      <c r="L331"/>
    </row>
    <row r="332" spans="1:12">
      <c r="A332"/>
      <c r="B332"/>
      <c r="C332"/>
      <c r="D332"/>
      <c r="E332"/>
      <c r="F332"/>
      <c r="G332"/>
      <c r="H332"/>
      <c r="I332"/>
      <c r="J332"/>
      <c r="K332"/>
      <c r="L332"/>
    </row>
    <row r="333" spans="1:12">
      <c r="A333"/>
      <c r="B333"/>
      <c r="C333"/>
      <c r="D333"/>
      <c r="E333"/>
      <c r="F333"/>
      <c r="G333"/>
      <c r="H333"/>
      <c r="I333"/>
      <c r="J333"/>
      <c r="K333"/>
      <c r="L333"/>
    </row>
    <row r="334" spans="1:12">
      <c r="A334"/>
      <c r="B334"/>
      <c r="C334"/>
      <c r="D334"/>
      <c r="E334"/>
      <c r="F334"/>
      <c r="G334"/>
      <c r="H334"/>
      <c r="I334"/>
      <c r="J334"/>
      <c r="K334"/>
      <c r="L334"/>
    </row>
    <row r="335" spans="1:12">
      <c r="A335"/>
      <c r="B335"/>
      <c r="C335"/>
      <c r="D335"/>
      <c r="E335"/>
      <c r="F335"/>
      <c r="G335"/>
      <c r="H335"/>
      <c r="I335"/>
      <c r="J335"/>
      <c r="K335"/>
      <c r="L335"/>
    </row>
    <row r="336" spans="1:12">
      <c r="A336"/>
      <c r="B336"/>
      <c r="C336"/>
      <c r="D336"/>
      <c r="E336"/>
      <c r="F336"/>
      <c r="G336"/>
      <c r="H336"/>
      <c r="I336"/>
      <c r="J336"/>
      <c r="K336"/>
      <c r="L336"/>
    </row>
    <row r="337" spans="1:12">
      <c r="A337"/>
      <c r="B337"/>
      <c r="C337"/>
      <c r="D337"/>
      <c r="E337"/>
      <c r="F337"/>
      <c r="G337"/>
      <c r="H337"/>
      <c r="I337"/>
      <c r="J337"/>
      <c r="K337"/>
      <c r="L337"/>
    </row>
    <row r="338" spans="1:12">
      <c r="A338"/>
      <c r="B338"/>
      <c r="C338"/>
      <c r="D338"/>
      <c r="E338"/>
      <c r="F338"/>
      <c r="G338"/>
      <c r="H338"/>
      <c r="I338"/>
      <c r="J338"/>
      <c r="K338"/>
      <c r="L338"/>
    </row>
    <row r="339" spans="1:12">
      <c r="A339"/>
      <c r="B339"/>
      <c r="C339"/>
      <c r="D339"/>
      <c r="E339"/>
      <c r="F339"/>
      <c r="G339"/>
      <c r="H339"/>
      <c r="I339"/>
      <c r="J339"/>
      <c r="K339"/>
      <c r="L339"/>
    </row>
    <row r="340" spans="1:12">
      <c r="A340"/>
      <c r="B340"/>
      <c r="C340"/>
      <c r="D340"/>
      <c r="E340"/>
      <c r="F340"/>
      <c r="G340"/>
      <c r="H340"/>
      <c r="I340"/>
      <c r="J340"/>
      <c r="K340"/>
      <c r="L340"/>
    </row>
    <row r="341" spans="1:12">
      <c r="A341"/>
      <c r="B341"/>
      <c r="C341"/>
      <c r="D341"/>
      <c r="E341"/>
      <c r="F341"/>
      <c r="G341"/>
      <c r="H341"/>
      <c r="I341"/>
      <c r="J341"/>
      <c r="K341"/>
      <c r="L341"/>
    </row>
    <row r="342" spans="1:12">
      <c r="A342"/>
      <c r="B342"/>
      <c r="C342"/>
      <c r="D342"/>
      <c r="E342"/>
      <c r="F342"/>
      <c r="G342"/>
      <c r="H342"/>
      <c r="I342"/>
      <c r="J342"/>
      <c r="K342"/>
      <c r="L342"/>
    </row>
    <row r="343" spans="1:12">
      <c r="A343"/>
      <c r="B343"/>
      <c r="C343"/>
      <c r="D343"/>
      <c r="E343"/>
      <c r="F343"/>
      <c r="G343"/>
      <c r="H343"/>
      <c r="I343"/>
      <c r="J343"/>
      <c r="K343"/>
      <c r="L343"/>
    </row>
    <row r="344" spans="1:12">
      <c r="A344"/>
      <c r="B344"/>
      <c r="C344"/>
      <c r="D344"/>
      <c r="E344"/>
      <c r="F344"/>
      <c r="G344"/>
      <c r="H344"/>
      <c r="I344"/>
      <c r="J344"/>
      <c r="K344"/>
      <c r="L344"/>
    </row>
    <row r="345" spans="1:12">
      <c r="A345"/>
      <c r="B345"/>
      <c r="C345"/>
      <c r="D345"/>
      <c r="E345"/>
      <c r="F345"/>
      <c r="G345"/>
      <c r="H345"/>
      <c r="I345"/>
      <c r="J345"/>
      <c r="K345"/>
      <c r="L345"/>
    </row>
    <row r="346" spans="1:12">
      <c r="A346"/>
      <c r="B346"/>
      <c r="C346"/>
      <c r="D346"/>
      <c r="E346"/>
      <c r="F346"/>
      <c r="G346"/>
      <c r="H346"/>
      <c r="I346"/>
      <c r="J346"/>
      <c r="K346"/>
      <c r="L346"/>
    </row>
    <row r="347" spans="1:12">
      <c r="A347"/>
      <c r="B347"/>
      <c r="C347"/>
      <c r="D347"/>
      <c r="E347"/>
      <c r="F347"/>
      <c r="G347"/>
      <c r="H347"/>
      <c r="I347"/>
      <c r="J347"/>
      <c r="K347"/>
      <c r="L347"/>
    </row>
    <row r="348" spans="1:12">
      <c r="A348"/>
      <c r="B348"/>
      <c r="C348"/>
      <c r="D348"/>
      <c r="E348"/>
      <c r="F348"/>
      <c r="G348"/>
      <c r="H348"/>
      <c r="I348"/>
      <c r="J348"/>
      <c r="K348"/>
      <c r="L348"/>
    </row>
    <row r="349" spans="1:12">
      <c r="A349"/>
      <c r="B349"/>
      <c r="C349"/>
      <c r="D349"/>
      <c r="E349"/>
      <c r="F349"/>
      <c r="G349"/>
      <c r="H349"/>
      <c r="I349"/>
      <c r="J349"/>
      <c r="K349"/>
      <c r="L349"/>
    </row>
    <row r="350" spans="1:12">
      <c r="A350"/>
      <c r="B350"/>
      <c r="C350"/>
      <c r="D350"/>
      <c r="E350"/>
      <c r="F350"/>
      <c r="G350"/>
      <c r="H350"/>
      <c r="I350"/>
      <c r="J350"/>
      <c r="K350"/>
      <c r="L350"/>
    </row>
    <row r="351" spans="1:12">
      <c r="A351"/>
      <c r="B351"/>
      <c r="C351"/>
      <c r="D351"/>
      <c r="E351"/>
      <c r="F351"/>
      <c r="G351"/>
      <c r="H351"/>
      <c r="I351"/>
      <c r="J351"/>
      <c r="K351"/>
      <c r="L351"/>
    </row>
    <row r="352" spans="1:12">
      <c r="A352"/>
      <c r="B352"/>
      <c r="C352"/>
      <c r="D352"/>
      <c r="E352"/>
      <c r="F352"/>
      <c r="G352"/>
      <c r="H352"/>
      <c r="I352"/>
      <c r="J352"/>
      <c r="K352"/>
      <c r="L352"/>
    </row>
    <row r="353" spans="1:12">
      <c r="A353"/>
      <c r="B353"/>
      <c r="C353"/>
      <c r="D353"/>
      <c r="E353"/>
      <c r="F353"/>
      <c r="G353"/>
      <c r="H353"/>
      <c r="I353"/>
      <c r="J353"/>
      <c r="K353"/>
      <c r="L353"/>
    </row>
    <row r="354" spans="1:12">
      <c r="A354"/>
      <c r="B354"/>
      <c r="C354"/>
      <c r="D354"/>
      <c r="E354"/>
      <c r="F354"/>
      <c r="G354"/>
      <c r="H354"/>
      <c r="I354"/>
      <c r="J354"/>
      <c r="K354"/>
      <c r="L354"/>
    </row>
    <row r="355" spans="1:12">
      <c r="A355"/>
      <c r="B355"/>
      <c r="C355"/>
      <c r="D355"/>
      <c r="E355"/>
      <c r="F355"/>
      <c r="G355"/>
      <c r="H355"/>
      <c r="I355"/>
      <c r="J355"/>
      <c r="K355"/>
      <c r="L355"/>
    </row>
    <row r="356" spans="1:12">
      <c r="A356"/>
      <c r="B356"/>
      <c r="C356"/>
      <c r="D356"/>
      <c r="E356"/>
      <c r="F356"/>
      <c r="G356"/>
      <c r="H356"/>
      <c r="I356"/>
      <c r="J356"/>
      <c r="K356"/>
      <c r="L356"/>
    </row>
    <row r="357" spans="1:12">
      <c r="A357"/>
      <c r="B357"/>
      <c r="C357"/>
      <c r="D357"/>
      <c r="E357"/>
      <c r="F357"/>
      <c r="G357"/>
      <c r="H357"/>
      <c r="I357"/>
      <c r="J357"/>
      <c r="K357"/>
      <c r="L357"/>
    </row>
    <row r="358" spans="1:12">
      <c r="A358"/>
      <c r="B358"/>
      <c r="C358"/>
      <c r="D358"/>
      <c r="E358"/>
      <c r="F358"/>
      <c r="G358"/>
      <c r="H358"/>
      <c r="I358"/>
      <c r="J358"/>
      <c r="K358"/>
      <c r="L358"/>
    </row>
    <row r="359" spans="1:12">
      <c r="A359"/>
      <c r="B359"/>
      <c r="C359"/>
      <c r="D359"/>
      <c r="E359"/>
      <c r="F359"/>
      <c r="G359"/>
      <c r="H359"/>
      <c r="I359"/>
      <c r="J359"/>
      <c r="K359"/>
      <c r="L359"/>
    </row>
    <row r="360" spans="1:12">
      <c r="A360"/>
      <c r="B360"/>
      <c r="C360"/>
      <c r="D360"/>
      <c r="E360"/>
      <c r="F360"/>
      <c r="G360"/>
      <c r="H360"/>
      <c r="I360"/>
      <c r="J360"/>
      <c r="K360"/>
      <c r="L360"/>
    </row>
    <row r="361" spans="1:12">
      <c r="A361"/>
      <c r="B361"/>
      <c r="C361"/>
      <c r="D361"/>
      <c r="E361"/>
      <c r="F361"/>
      <c r="G361"/>
      <c r="H361"/>
      <c r="I361"/>
      <c r="J361"/>
      <c r="K361"/>
      <c r="L361"/>
    </row>
    <row r="362" spans="1:12">
      <c r="A362"/>
      <c r="B362"/>
      <c r="C362"/>
      <c r="D362"/>
      <c r="E362"/>
      <c r="F362"/>
      <c r="G362"/>
      <c r="H362"/>
      <c r="I362"/>
      <c r="J362"/>
      <c r="K362"/>
      <c r="L362"/>
    </row>
    <row r="363" spans="1:12">
      <c r="A363"/>
      <c r="B363"/>
      <c r="C363"/>
      <c r="D363"/>
      <c r="E363"/>
      <c r="F363"/>
      <c r="G363"/>
      <c r="H363"/>
      <c r="I363"/>
      <c r="J363"/>
      <c r="K363"/>
      <c r="L363"/>
    </row>
    <row r="364" spans="1:12">
      <c r="A364"/>
      <c r="B364"/>
      <c r="C364"/>
      <c r="D364"/>
      <c r="E364"/>
      <c r="F364"/>
      <c r="G364"/>
      <c r="H364"/>
      <c r="I364"/>
      <c r="J364"/>
      <c r="K364"/>
      <c r="L364"/>
    </row>
    <row r="365" spans="1:12">
      <c r="A365"/>
      <c r="B365"/>
      <c r="C365"/>
      <c r="D365"/>
      <c r="E365"/>
      <c r="F365"/>
      <c r="G365"/>
      <c r="H365"/>
      <c r="I365"/>
      <c r="J365"/>
      <c r="K365"/>
      <c r="L365"/>
    </row>
    <row r="366" spans="1:12">
      <c r="A366"/>
      <c r="B366"/>
      <c r="C366"/>
      <c r="D366"/>
      <c r="E366"/>
      <c r="F366"/>
      <c r="G366"/>
      <c r="H366"/>
      <c r="I366"/>
      <c r="J366"/>
      <c r="K366"/>
      <c r="L366"/>
    </row>
    <row r="367" spans="1:12">
      <c r="A367"/>
      <c r="B367"/>
      <c r="C367"/>
      <c r="D367"/>
      <c r="E367"/>
      <c r="F367"/>
      <c r="G367"/>
      <c r="H367"/>
      <c r="I367"/>
      <c r="J367"/>
      <c r="K367"/>
      <c r="L367"/>
    </row>
    <row r="368" spans="1:12">
      <c r="A368"/>
      <c r="B368"/>
      <c r="C368"/>
      <c r="D368"/>
      <c r="E368"/>
      <c r="F368"/>
      <c r="G368"/>
      <c r="H368"/>
      <c r="I368"/>
      <c r="J368"/>
      <c r="K368"/>
      <c r="L368"/>
    </row>
    <row r="369" spans="1:12">
      <c r="A369"/>
      <c r="B369"/>
      <c r="C369"/>
      <c r="D369"/>
      <c r="E369"/>
      <c r="F369"/>
      <c r="G369"/>
      <c r="H369"/>
      <c r="I369"/>
      <c r="J369"/>
      <c r="K369"/>
      <c r="L369"/>
    </row>
    <row r="370" spans="1:12">
      <c r="A370"/>
      <c r="B370"/>
      <c r="C370"/>
      <c r="D370"/>
      <c r="E370"/>
      <c r="F370"/>
      <c r="G370"/>
      <c r="H370"/>
      <c r="I370"/>
      <c r="J370"/>
      <c r="K370"/>
      <c r="L370"/>
    </row>
    <row r="371" spans="1:12">
      <c r="A371"/>
      <c r="B371"/>
      <c r="C371"/>
      <c r="D371"/>
      <c r="E371"/>
      <c r="F371"/>
      <c r="G371"/>
      <c r="H371"/>
      <c r="I371"/>
      <c r="J371"/>
      <c r="K371"/>
      <c r="L371"/>
    </row>
    <row r="372" spans="1:12">
      <c r="A372"/>
      <c r="B372"/>
      <c r="C372"/>
      <c r="D372"/>
      <c r="E372"/>
      <c r="F372"/>
      <c r="G372"/>
      <c r="H372"/>
      <c r="I372"/>
      <c r="J372"/>
      <c r="K372"/>
      <c r="L372"/>
    </row>
    <row r="373" spans="1:12">
      <c r="A373"/>
      <c r="B373"/>
      <c r="C373"/>
      <c r="D373"/>
      <c r="E373"/>
      <c r="F373"/>
      <c r="G373"/>
      <c r="H373"/>
      <c r="I373"/>
      <c r="J373"/>
      <c r="K373"/>
      <c r="L373"/>
    </row>
    <row r="374" spans="1:12">
      <c r="A374"/>
      <c r="B374"/>
      <c r="C374"/>
      <c r="D374"/>
      <c r="E374"/>
      <c r="F374"/>
      <c r="G374"/>
      <c r="H374"/>
      <c r="I374"/>
      <c r="J374"/>
      <c r="K374"/>
      <c r="L374"/>
    </row>
    <row r="375" spans="1:12">
      <c r="A375"/>
      <c r="B375"/>
      <c r="C375"/>
      <c r="D375"/>
      <c r="E375"/>
      <c r="F375"/>
      <c r="G375"/>
      <c r="H375"/>
      <c r="I375"/>
      <c r="J375"/>
      <c r="K375"/>
      <c r="L375"/>
    </row>
    <row r="376" spans="1:12">
      <c r="A376"/>
      <c r="B376"/>
      <c r="C376"/>
      <c r="D376"/>
      <c r="E376"/>
      <c r="F376"/>
      <c r="G376"/>
      <c r="H376"/>
      <c r="I376"/>
      <c r="J376"/>
      <c r="K376"/>
      <c r="L376"/>
    </row>
    <row r="377" spans="1:12">
      <c r="A377"/>
      <c r="B377"/>
      <c r="C377"/>
      <c r="D377"/>
      <c r="E377"/>
      <c r="F377"/>
      <c r="G377"/>
      <c r="H377"/>
      <c r="I377"/>
      <c r="J377"/>
      <c r="K377"/>
      <c r="L377"/>
    </row>
    <row r="378" spans="1:12">
      <c r="A378"/>
      <c r="B378"/>
      <c r="C378"/>
      <c r="D378"/>
      <c r="E378"/>
      <c r="F378"/>
      <c r="G378"/>
      <c r="H378"/>
      <c r="I378"/>
      <c r="J378"/>
      <c r="K378"/>
      <c r="L378"/>
    </row>
    <row r="379" spans="1:12">
      <c r="A379"/>
      <c r="B379"/>
      <c r="C379"/>
      <c r="D379"/>
      <c r="E379"/>
      <c r="F379"/>
      <c r="G379"/>
      <c r="H379"/>
      <c r="I379"/>
      <c r="J379"/>
      <c r="K379"/>
      <c r="L379"/>
    </row>
    <row r="380" spans="1:12">
      <c r="A380"/>
      <c r="B380"/>
      <c r="C380"/>
      <c r="D380"/>
      <c r="E380"/>
      <c r="F380"/>
      <c r="G380"/>
      <c r="H380"/>
      <c r="I380"/>
      <c r="J380"/>
      <c r="K380"/>
      <c r="L380"/>
    </row>
    <row r="381" spans="1:12">
      <c r="A381"/>
      <c r="B381"/>
      <c r="C381"/>
      <c r="D381"/>
      <c r="E381"/>
      <c r="F381"/>
      <c r="G381"/>
      <c r="H381"/>
      <c r="I381"/>
      <c r="J381"/>
      <c r="K381"/>
      <c r="L381"/>
    </row>
    <row r="382" spans="1:12">
      <c r="A382"/>
      <c r="B382"/>
      <c r="C382"/>
      <c r="D382"/>
      <c r="E382"/>
      <c r="F382"/>
      <c r="G382"/>
      <c r="H382"/>
      <c r="I382"/>
      <c r="J382"/>
      <c r="K382"/>
      <c r="L382"/>
    </row>
    <row r="383" spans="1:12">
      <c r="A383"/>
      <c r="B383"/>
      <c r="C383"/>
      <c r="D383"/>
      <c r="E383"/>
      <c r="F383"/>
      <c r="G383"/>
      <c r="H383"/>
      <c r="I383"/>
      <c r="J383"/>
      <c r="K383"/>
      <c r="L383"/>
    </row>
    <row r="384" spans="1:12">
      <c r="A384"/>
      <c r="B384"/>
      <c r="C384"/>
      <c r="D384"/>
      <c r="E384"/>
      <c r="F384"/>
      <c r="G384"/>
      <c r="H384"/>
      <c r="I384"/>
      <c r="J384"/>
      <c r="K384"/>
      <c r="L384"/>
    </row>
    <row r="385" spans="1:12">
      <c r="A385"/>
      <c r="B385"/>
      <c r="C385"/>
      <c r="D385"/>
      <c r="E385"/>
      <c r="F385"/>
      <c r="G385"/>
      <c r="H385"/>
      <c r="I385"/>
      <c r="J385"/>
      <c r="K385"/>
      <c r="L385"/>
    </row>
    <row r="386" spans="1:12">
      <c r="A386"/>
      <c r="B386"/>
      <c r="C386"/>
      <c r="D386"/>
      <c r="E386"/>
      <c r="F386"/>
      <c r="G386"/>
      <c r="H386"/>
      <c r="I386"/>
      <c r="J386"/>
      <c r="K386"/>
      <c r="L386"/>
    </row>
    <row r="387" spans="1:12">
      <c r="A387"/>
      <c r="B387"/>
      <c r="C387"/>
      <c r="D387"/>
      <c r="E387"/>
      <c r="F387"/>
      <c r="G387"/>
      <c r="H387"/>
      <c r="I387"/>
      <c r="J387"/>
      <c r="K387"/>
      <c r="L387"/>
    </row>
    <row r="388" spans="1:12">
      <c r="A388"/>
      <c r="B388"/>
      <c r="C388"/>
      <c r="D388"/>
      <c r="E388"/>
      <c r="F388"/>
      <c r="G388"/>
      <c r="H388"/>
      <c r="I388"/>
      <c r="J388"/>
      <c r="K388"/>
      <c r="L388"/>
    </row>
    <row r="389" spans="1:12">
      <c r="A389"/>
      <c r="B389"/>
      <c r="C389"/>
      <c r="D389"/>
      <c r="E389"/>
      <c r="F389"/>
      <c r="G389"/>
      <c r="H389"/>
      <c r="I389"/>
      <c r="J389"/>
      <c r="K389"/>
      <c r="L389"/>
    </row>
    <row r="390" spans="1:12">
      <c r="A390"/>
      <c r="B390"/>
      <c r="C390"/>
      <c r="D390"/>
      <c r="E390"/>
      <c r="F390"/>
      <c r="G390"/>
      <c r="H390"/>
      <c r="I390"/>
      <c r="J390"/>
      <c r="K390"/>
      <c r="L390"/>
    </row>
    <row r="391" spans="1:12">
      <c r="A391"/>
      <c r="B391"/>
      <c r="C391"/>
      <c r="D391"/>
      <c r="E391"/>
      <c r="F391"/>
      <c r="G391"/>
      <c r="H391"/>
      <c r="I391"/>
      <c r="J391"/>
      <c r="K391"/>
      <c r="L391"/>
    </row>
    <row r="392" spans="1:12">
      <c r="A392"/>
      <c r="B392"/>
      <c r="C392"/>
      <c r="D392"/>
      <c r="E392"/>
      <c r="F392"/>
      <c r="G392"/>
      <c r="H392"/>
      <c r="I392"/>
      <c r="J392"/>
      <c r="K392"/>
      <c r="L392"/>
    </row>
    <row r="393" spans="1:12">
      <c r="A393"/>
      <c r="B393"/>
      <c r="C393"/>
      <c r="D393"/>
      <c r="E393"/>
      <c r="F393"/>
      <c r="G393"/>
      <c r="H393"/>
      <c r="I393"/>
      <c r="J393"/>
      <c r="K393"/>
      <c r="L393"/>
    </row>
    <row r="394" spans="1:12">
      <c r="A394"/>
      <c r="B394"/>
      <c r="C394"/>
      <c r="D394"/>
      <c r="E394"/>
      <c r="F394"/>
      <c r="G394"/>
      <c r="H394"/>
      <c r="I394"/>
      <c r="J394"/>
      <c r="K394"/>
      <c r="L394"/>
    </row>
    <row r="395" spans="1:12">
      <c r="A395"/>
      <c r="B395"/>
      <c r="C395"/>
      <c r="D395"/>
      <c r="E395"/>
      <c r="F395"/>
      <c r="G395"/>
      <c r="H395"/>
      <c r="I395"/>
      <c r="J395"/>
      <c r="K395"/>
      <c r="L395"/>
    </row>
    <row r="396" spans="1:12">
      <c r="A396"/>
      <c r="B396"/>
      <c r="C396"/>
      <c r="D396"/>
      <c r="E396"/>
      <c r="F396"/>
      <c r="G396"/>
      <c r="H396"/>
      <c r="I396"/>
      <c r="J396"/>
      <c r="K396"/>
      <c r="L396"/>
    </row>
    <row r="397" spans="1:12">
      <c r="A397"/>
      <c r="B397"/>
      <c r="C397"/>
      <c r="D397"/>
      <c r="E397"/>
      <c r="F397"/>
      <c r="G397"/>
      <c r="H397"/>
      <c r="I397"/>
      <c r="J397"/>
      <c r="K397"/>
      <c r="L397"/>
    </row>
    <row r="398" spans="1:12">
      <c r="A398"/>
      <c r="B398"/>
      <c r="C398"/>
      <c r="D398"/>
      <c r="E398"/>
      <c r="F398"/>
      <c r="G398"/>
      <c r="H398"/>
      <c r="I398"/>
      <c r="J398"/>
      <c r="K398"/>
      <c r="L398"/>
    </row>
    <row r="399" spans="1:12">
      <c r="A399"/>
      <c r="B399"/>
      <c r="C399"/>
      <c r="D399"/>
      <c r="E399"/>
      <c r="F399"/>
      <c r="G399"/>
      <c r="H399"/>
      <c r="I399"/>
      <c r="J399"/>
      <c r="K399"/>
      <c r="L399"/>
    </row>
    <row r="400" spans="1:12">
      <c r="A400"/>
      <c r="B400"/>
      <c r="C400"/>
      <c r="D400"/>
      <c r="E400"/>
      <c r="F400"/>
      <c r="G400"/>
      <c r="H400"/>
      <c r="I400"/>
      <c r="J400"/>
      <c r="K400"/>
      <c r="L400"/>
    </row>
    <row r="401" spans="1:12">
      <c r="A401"/>
      <c r="B401"/>
      <c r="C401"/>
      <c r="D401"/>
      <c r="E401"/>
      <c r="F401"/>
      <c r="G401"/>
      <c r="H401"/>
      <c r="I401"/>
      <c r="J401"/>
      <c r="K401"/>
      <c r="L401"/>
    </row>
    <row r="402" spans="1:12">
      <c r="A402"/>
      <c r="B402"/>
      <c r="C402"/>
      <c r="D402"/>
      <c r="E402"/>
      <c r="F402"/>
      <c r="G402"/>
      <c r="H402"/>
      <c r="I402"/>
      <c r="J402"/>
      <c r="K402"/>
      <c r="L402"/>
    </row>
    <row r="403" spans="1:12">
      <c r="A403"/>
      <c r="B403"/>
      <c r="C403"/>
      <c r="D403"/>
      <c r="E403"/>
      <c r="F403"/>
      <c r="G403"/>
      <c r="H403"/>
      <c r="I403"/>
      <c r="J403"/>
      <c r="K403"/>
      <c r="L403"/>
    </row>
    <row r="404" spans="1:12">
      <c r="A404"/>
      <c r="B404"/>
      <c r="C404"/>
      <c r="D404"/>
      <c r="E404"/>
      <c r="F404"/>
      <c r="G404"/>
      <c r="H404"/>
      <c r="I404"/>
      <c r="J404"/>
      <c r="K404"/>
      <c r="L404"/>
    </row>
    <row r="405" spans="1:12">
      <c r="A405"/>
      <c r="B405"/>
      <c r="C405"/>
      <c r="D405"/>
      <c r="E405"/>
      <c r="F405"/>
      <c r="G405"/>
      <c r="H405"/>
      <c r="I405"/>
      <c r="J405"/>
      <c r="K405"/>
      <c r="L405"/>
    </row>
    <row r="406" spans="1:12">
      <c r="A406"/>
      <c r="B406"/>
      <c r="C406"/>
      <c r="D406"/>
      <c r="E406"/>
      <c r="F406"/>
      <c r="G406"/>
      <c r="H406"/>
      <c r="I406"/>
      <c r="J406"/>
      <c r="K406"/>
      <c r="L406"/>
    </row>
    <row r="407" spans="1:12">
      <c r="A407"/>
      <c r="B407"/>
      <c r="C407"/>
      <c r="D407"/>
      <c r="E407"/>
      <c r="F407"/>
      <c r="G407"/>
      <c r="H407"/>
      <c r="I407"/>
      <c r="J407"/>
      <c r="K407"/>
      <c r="L407"/>
    </row>
    <row r="408" spans="1:12">
      <c r="A408"/>
      <c r="B408"/>
      <c r="C408"/>
      <c r="D408"/>
      <c r="E408"/>
      <c r="F408"/>
      <c r="G408"/>
      <c r="H408"/>
      <c r="I408"/>
      <c r="J408"/>
      <c r="K408"/>
      <c r="L408"/>
    </row>
    <row r="409" spans="1:12">
      <c r="A409"/>
      <c r="B409"/>
      <c r="C409"/>
      <c r="D409"/>
      <c r="E409"/>
      <c r="F409"/>
      <c r="G409"/>
      <c r="H409"/>
      <c r="I409"/>
      <c r="J409"/>
      <c r="K409"/>
      <c r="L409"/>
    </row>
    <row r="410" spans="1:12">
      <c r="A410"/>
      <c r="B410"/>
      <c r="C410"/>
      <c r="D410"/>
      <c r="E410"/>
      <c r="F410"/>
      <c r="G410"/>
      <c r="H410"/>
      <c r="I410"/>
      <c r="J410"/>
      <c r="K410"/>
      <c r="L410"/>
    </row>
    <row r="411" spans="1:12">
      <c r="A411"/>
      <c r="B411"/>
      <c r="C411"/>
      <c r="D411"/>
      <c r="E411"/>
      <c r="F411"/>
      <c r="G411"/>
      <c r="H411"/>
      <c r="I411"/>
      <c r="J411"/>
      <c r="K411"/>
      <c r="L411"/>
    </row>
    <row r="412" spans="1:12">
      <c r="A412"/>
      <c r="B412"/>
      <c r="C412"/>
      <c r="D412"/>
      <c r="E412"/>
      <c r="F412"/>
      <c r="G412"/>
      <c r="H412"/>
      <c r="I412"/>
      <c r="J412"/>
      <c r="K412"/>
      <c r="L412"/>
    </row>
    <row r="413" spans="1:12">
      <c r="A413"/>
      <c r="B413"/>
      <c r="C413"/>
      <c r="D413"/>
      <c r="E413"/>
      <c r="F413"/>
      <c r="G413"/>
      <c r="H413"/>
      <c r="I413"/>
      <c r="J413"/>
      <c r="K413"/>
      <c r="L413"/>
    </row>
    <row r="414" spans="1:12">
      <c r="A414"/>
      <c r="B414"/>
      <c r="C414"/>
      <c r="D414"/>
      <c r="E414"/>
      <c r="F414"/>
      <c r="G414"/>
      <c r="H414"/>
      <c r="I414"/>
      <c r="J414"/>
      <c r="K414"/>
      <c r="L414"/>
    </row>
    <row r="415" spans="1:12">
      <c r="A415"/>
      <c r="B415"/>
      <c r="C415"/>
      <c r="D415"/>
      <c r="E415"/>
      <c r="F415"/>
      <c r="G415"/>
      <c r="H415"/>
      <c r="I415"/>
      <c r="J415"/>
      <c r="K415"/>
      <c r="L415"/>
    </row>
    <row r="416" spans="1:12">
      <c r="A416"/>
      <c r="B416"/>
      <c r="C416"/>
      <c r="D416"/>
      <c r="E416"/>
      <c r="F416"/>
      <c r="G416"/>
      <c r="H416"/>
      <c r="I416"/>
      <c r="J416"/>
      <c r="K416"/>
      <c r="L416"/>
    </row>
    <row r="417" spans="1:12">
      <c r="A417"/>
      <c r="B417"/>
      <c r="C417"/>
      <c r="D417"/>
      <c r="E417"/>
      <c r="F417"/>
      <c r="G417"/>
      <c r="H417"/>
      <c r="I417"/>
      <c r="J417"/>
      <c r="K417"/>
      <c r="L417"/>
    </row>
    <row r="418" spans="1:12">
      <c r="A418"/>
      <c r="B418"/>
      <c r="C418"/>
      <c r="D418"/>
      <c r="E418"/>
      <c r="F418"/>
      <c r="G418"/>
      <c r="H418"/>
      <c r="I418"/>
      <c r="J418"/>
      <c r="K418"/>
      <c r="L418"/>
    </row>
    <row r="419" spans="1:12">
      <c r="A419"/>
      <c r="B419"/>
      <c r="C419"/>
      <c r="D419"/>
      <c r="E419"/>
      <c r="F419"/>
      <c r="G419"/>
      <c r="H419"/>
      <c r="I419"/>
      <c r="J419"/>
      <c r="K419"/>
      <c r="L419"/>
    </row>
    <row r="420" spans="1:12">
      <c r="A420"/>
      <c r="B420"/>
      <c r="C420"/>
      <c r="D420"/>
      <c r="E420"/>
      <c r="F420"/>
      <c r="G420"/>
      <c r="H420"/>
      <c r="I420"/>
      <c r="J420"/>
      <c r="K420"/>
      <c r="L420"/>
    </row>
    <row r="421" spans="1:12">
      <c r="A421"/>
      <c r="B421"/>
      <c r="C421"/>
      <c r="D421"/>
      <c r="E421"/>
      <c r="F421"/>
      <c r="G421"/>
      <c r="H421"/>
      <c r="I421"/>
      <c r="J421"/>
      <c r="K421"/>
      <c r="L421"/>
    </row>
    <row r="422" spans="1:12">
      <c r="A422"/>
      <c r="B422"/>
      <c r="C422"/>
      <c r="D422"/>
      <c r="E422"/>
      <c r="F422"/>
      <c r="G422"/>
      <c r="H422"/>
      <c r="I422"/>
      <c r="J422"/>
      <c r="K422"/>
      <c r="L422"/>
    </row>
    <row r="423" spans="1:12">
      <c r="A423"/>
      <c r="B423"/>
      <c r="C423"/>
      <c r="D423"/>
      <c r="E423"/>
      <c r="F423"/>
      <c r="G423"/>
      <c r="H423"/>
      <c r="I423"/>
      <c r="J423"/>
      <c r="K423"/>
      <c r="L423"/>
    </row>
    <row r="424" spans="1:12">
      <c r="A424"/>
      <c r="B424"/>
      <c r="C424"/>
      <c r="D424"/>
      <c r="E424"/>
      <c r="F424"/>
      <c r="G424"/>
      <c r="H424"/>
      <c r="I424"/>
      <c r="J424"/>
      <c r="K424"/>
      <c r="L424"/>
    </row>
    <row r="425" spans="1:12">
      <c r="A425"/>
      <c r="B425"/>
      <c r="C425"/>
      <c r="D425"/>
      <c r="E425"/>
      <c r="F425"/>
      <c r="G425"/>
      <c r="H425"/>
      <c r="I425"/>
      <c r="J425"/>
      <c r="K425"/>
      <c r="L425"/>
    </row>
    <row r="426" spans="1:12">
      <c r="A426"/>
      <c r="B426"/>
      <c r="C426"/>
      <c r="D426"/>
      <c r="E426"/>
      <c r="F426"/>
      <c r="G426"/>
      <c r="H426"/>
      <c r="I426"/>
      <c r="J426"/>
      <c r="K426"/>
      <c r="L426"/>
    </row>
    <row r="427" spans="1:12">
      <c r="A427"/>
      <c r="B427"/>
      <c r="C427"/>
      <c r="D427"/>
      <c r="E427"/>
      <c r="F427"/>
      <c r="G427"/>
      <c r="H427"/>
      <c r="I427"/>
      <c r="J427"/>
      <c r="K427"/>
      <c r="L427"/>
    </row>
    <row r="428" spans="1:12">
      <c r="A428"/>
      <c r="B428"/>
      <c r="C428"/>
      <c r="D428"/>
      <c r="E428"/>
      <c r="F428"/>
      <c r="G428"/>
      <c r="H428"/>
      <c r="I428"/>
      <c r="J428"/>
      <c r="K428"/>
      <c r="L428"/>
    </row>
    <row r="429" spans="1:12">
      <c r="A429"/>
      <c r="B429"/>
      <c r="C429"/>
      <c r="D429"/>
      <c r="E429"/>
      <c r="F429"/>
      <c r="G429"/>
      <c r="H429"/>
      <c r="I429"/>
      <c r="J429"/>
      <c r="K429"/>
      <c r="L429"/>
    </row>
    <row r="430" spans="1:12">
      <c r="A430"/>
      <c r="B430"/>
      <c r="C430"/>
      <c r="D430"/>
      <c r="E430"/>
      <c r="F430"/>
      <c r="G430"/>
      <c r="H430"/>
      <c r="I430"/>
      <c r="J430"/>
      <c r="K430"/>
      <c r="L430"/>
    </row>
    <row r="431" spans="1:12">
      <c r="A431"/>
      <c r="B431"/>
      <c r="C431"/>
      <c r="D431"/>
      <c r="E431"/>
      <c r="F431"/>
      <c r="G431"/>
      <c r="H431"/>
      <c r="I431"/>
      <c r="J431"/>
      <c r="K431"/>
      <c r="L431"/>
    </row>
    <row r="432" spans="1:12">
      <c r="A432"/>
      <c r="B432"/>
      <c r="C432"/>
      <c r="D432"/>
      <c r="E432"/>
      <c r="F432"/>
      <c r="G432"/>
      <c r="H432"/>
      <c r="I432"/>
      <c r="J432"/>
      <c r="K432"/>
      <c r="L432"/>
    </row>
    <row r="433" spans="1:12">
      <c r="A433"/>
      <c r="B433"/>
      <c r="C433"/>
      <c r="D433"/>
      <c r="E433"/>
      <c r="F433"/>
      <c r="G433"/>
      <c r="H433"/>
      <c r="I433"/>
      <c r="J433"/>
      <c r="K433"/>
      <c r="L433"/>
    </row>
    <row r="434" spans="1:12">
      <c r="A434"/>
      <c r="B434"/>
      <c r="C434"/>
      <c r="D434"/>
      <c r="E434"/>
      <c r="F434"/>
      <c r="G434"/>
      <c r="H434"/>
      <c r="I434"/>
      <c r="J434"/>
      <c r="K434"/>
      <c r="L434"/>
    </row>
    <row r="435" spans="1:12">
      <c r="A435"/>
      <c r="B435"/>
      <c r="C435"/>
      <c r="D435"/>
      <c r="E435"/>
      <c r="F435"/>
      <c r="G435"/>
      <c r="H435"/>
      <c r="I435"/>
      <c r="J435"/>
      <c r="K435"/>
      <c r="L435"/>
    </row>
    <row r="436" spans="1:12">
      <c r="A436"/>
      <c r="B436"/>
      <c r="C436"/>
      <c r="D436"/>
      <c r="E436"/>
      <c r="F436"/>
      <c r="G436"/>
      <c r="H436"/>
      <c r="I436"/>
      <c r="J436"/>
      <c r="K436"/>
      <c r="L436"/>
    </row>
    <row r="437" spans="1:12">
      <c r="A437"/>
      <c r="B437"/>
      <c r="C437"/>
      <c r="D437"/>
      <c r="E437"/>
      <c r="F437"/>
      <c r="G437"/>
      <c r="H437"/>
      <c r="I437"/>
      <c r="J437"/>
      <c r="K437"/>
      <c r="L437"/>
    </row>
    <row r="438" spans="1:12">
      <c r="A438"/>
      <c r="B438"/>
      <c r="C438"/>
      <c r="D438"/>
      <c r="E438"/>
      <c r="F438"/>
      <c r="G438"/>
      <c r="H438"/>
      <c r="I438"/>
      <c r="J438"/>
      <c r="K438"/>
      <c r="L438"/>
    </row>
    <row r="439" spans="1:12">
      <c r="A439"/>
      <c r="B439"/>
      <c r="C439"/>
      <c r="D439"/>
      <c r="E439"/>
      <c r="F439"/>
      <c r="G439"/>
      <c r="H439"/>
      <c r="I439"/>
      <c r="J439"/>
      <c r="K439"/>
      <c r="L439"/>
    </row>
    <row r="440" spans="1:12">
      <c r="A440"/>
      <c r="B440"/>
      <c r="C440"/>
      <c r="D440"/>
      <c r="E440"/>
      <c r="F440"/>
      <c r="G440"/>
      <c r="H440"/>
      <c r="I440"/>
      <c r="J440"/>
      <c r="K440"/>
      <c r="L440"/>
    </row>
    <row r="441" spans="1:12">
      <c r="A441"/>
      <c r="B441"/>
      <c r="C441"/>
      <c r="D441"/>
      <c r="E441"/>
      <c r="F441"/>
      <c r="G441"/>
      <c r="H441"/>
      <c r="I441"/>
      <c r="J441"/>
      <c r="K441"/>
      <c r="L441"/>
    </row>
    <row r="442" spans="1:12">
      <c r="A442"/>
      <c r="B442"/>
      <c r="C442"/>
      <c r="D442"/>
      <c r="E442"/>
      <c r="F442"/>
      <c r="G442"/>
      <c r="H442"/>
      <c r="I442"/>
      <c r="J442"/>
      <c r="K442"/>
      <c r="L442"/>
    </row>
    <row r="443" spans="1:12">
      <c r="A443"/>
      <c r="B443"/>
      <c r="C443"/>
      <c r="D443"/>
      <c r="E443"/>
      <c r="F443"/>
      <c r="G443"/>
      <c r="H443"/>
      <c r="I443"/>
      <c r="J443"/>
      <c r="K443"/>
      <c r="L443"/>
    </row>
    <row r="444" spans="1:12">
      <c r="A444"/>
      <c r="B444"/>
      <c r="C444"/>
      <c r="D444"/>
      <c r="E444"/>
      <c r="F444"/>
      <c r="G444"/>
      <c r="H444"/>
      <c r="I444"/>
      <c r="J444"/>
      <c r="K444"/>
      <c r="L444"/>
    </row>
    <row r="445" spans="1:12">
      <c r="A445"/>
      <c r="B445"/>
      <c r="C445"/>
      <c r="D445"/>
      <c r="E445"/>
      <c r="F445"/>
      <c r="G445"/>
      <c r="H445"/>
      <c r="I445"/>
      <c r="J445"/>
      <c r="K445"/>
      <c r="L445"/>
    </row>
    <row r="446" spans="1:12">
      <c r="A446"/>
      <c r="B446"/>
      <c r="C446"/>
      <c r="D446"/>
      <c r="E446"/>
      <c r="F446"/>
      <c r="G446"/>
      <c r="H446"/>
      <c r="I446"/>
      <c r="J446"/>
      <c r="K446"/>
      <c r="L446"/>
    </row>
    <row r="447" spans="1:12">
      <c r="A447"/>
      <c r="B447"/>
      <c r="C447"/>
      <c r="D447"/>
      <c r="E447"/>
      <c r="F447"/>
      <c r="G447"/>
      <c r="H447"/>
      <c r="I447"/>
      <c r="J447"/>
      <c r="K447"/>
      <c r="L447"/>
    </row>
    <row r="448" spans="1:12">
      <c r="A448"/>
      <c r="B448"/>
      <c r="C448"/>
      <c r="D448"/>
      <c r="E448"/>
      <c r="F448"/>
      <c r="G448"/>
      <c r="H448"/>
      <c r="I448"/>
      <c r="J448"/>
      <c r="K448"/>
      <c r="L448"/>
    </row>
    <row r="449" spans="1:12">
      <c r="A449"/>
      <c r="B449"/>
      <c r="C449"/>
      <c r="D449"/>
      <c r="E449"/>
      <c r="F449"/>
      <c r="G449"/>
      <c r="H449"/>
      <c r="I449"/>
      <c r="J449"/>
      <c r="K449"/>
      <c r="L449"/>
    </row>
    <row r="450" spans="1:12">
      <c r="A450"/>
      <c r="B450"/>
      <c r="C450"/>
      <c r="D450"/>
      <c r="E450"/>
      <c r="F450"/>
      <c r="G450"/>
      <c r="H450"/>
      <c r="I450"/>
      <c r="J450"/>
      <c r="K450"/>
      <c r="L450"/>
    </row>
    <row r="451" spans="1:12">
      <c r="A451"/>
      <c r="B451"/>
      <c r="C451"/>
      <c r="D451"/>
      <c r="E451"/>
      <c r="F451"/>
      <c r="G451"/>
      <c r="H451"/>
      <c r="I451"/>
      <c r="J451"/>
      <c r="K451"/>
      <c r="L451"/>
    </row>
    <row r="452" spans="1:12">
      <c r="A452"/>
      <c r="B452"/>
      <c r="C452"/>
      <c r="D452"/>
      <c r="E452"/>
      <c r="F452"/>
      <c r="G452"/>
      <c r="H452"/>
      <c r="I452"/>
      <c r="J452"/>
      <c r="K452"/>
      <c r="L452"/>
    </row>
    <row r="453" spans="1:12">
      <c r="A453"/>
      <c r="B453"/>
      <c r="C453"/>
      <c r="D453"/>
      <c r="E453"/>
      <c r="F453"/>
      <c r="G453"/>
      <c r="H453"/>
      <c r="I453"/>
      <c r="J453"/>
      <c r="K453"/>
      <c r="L453"/>
    </row>
    <row r="454" spans="1:12">
      <c r="A454"/>
      <c r="B454"/>
      <c r="C454"/>
      <c r="D454"/>
      <c r="E454"/>
      <c r="F454"/>
      <c r="G454"/>
      <c r="H454"/>
      <c r="I454"/>
      <c r="J454"/>
      <c r="K454"/>
      <c r="L454"/>
    </row>
    <row r="455" spans="1:12">
      <c r="A455"/>
      <c r="B455"/>
      <c r="C455"/>
      <c r="D455"/>
      <c r="E455"/>
      <c r="F455"/>
      <c r="G455"/>
      <c r="H455"/>
      <c r="I455"/>
      <c r="J455"/>
      <c r="K455"/>
      <c r="L455"/>
    </row>
    <row r="456" spans="1:12">
      <c r="A456"/>
      <c r="B456"/>
      <c r="C456"/>
      <c r="D456"/>
      <c r="E456"/>
      <c r="F456"/>
      <c r="G456"/>
      <c r="H456"/>
      <c r="I456"/>
      <c r="J456"/>
      <c r="K456"/>
      <c r="L456"/>
    </row>
    <row r="457" spans="1:12">
      <c r="A457"/>
      <c r="B457"/>
      <c r="C457"/>
      <c r="D457"/>
      <c r="E457"/>
      <c r="F457"/>
      <c r="G457"/>
      <c r="H457"/>
      <c r="I457"/>
      <c r="J457"/>
      <c r="K457"/>
      <c r="L457"/>
    </row>
    <row r="458" spans="1:12">
      <c r="A458"/>
      <c r="B458"/>
      <c r="C458"/>
      <c r="D458"/>
      <c r="E458"/>
      <c r="F458"/>
      <c r="G458"/>
      <c r="H458"/>
      <c r="I458"/>
      <c r="J458"/>
      <c r="K458"/>
      <c r="L458"/>
    </row>
    <row r="459" spans="1:12">
      <c r="A459"/>
      <c r="B459"/>
      <c r="C459"/>
      <c r="D459"/>
      <c r="E459"/>
      <c r="F459"/>
      <c r="G459"/>
      <c r="H459"/>
      <c r="I459"/>
      <c r="J459"/>
      <c r="K459"/>
      <c r="L459"/>
    </row>
    <row r="460" spans="1:12">
      <c r="A460"/>
      <c r="B460"/>
      <c r="C460"/>
      <c r="D460"/>
      <c r="E460"/>
      <c r="F460"/>
      <c r="G460"/>
      <c r="H460"/>
      <c r="I460"/>
      <c r="J460"/>
      <c r="K460"/>
      <c r="L460"/>
    </row>
    <row r="461" spans="1:12">
      <c r="A461"/>
      <c r="B461"/>
      <c r="C461"/>
      <c r="D461"/>
      <c r="E461"/>
      <c r="F461"/>
      <c r="G461"/>
      <c r="H461"/>
      <c r="I461"/>
      <c r="J461"/>
      <c r="K461"/>
      <c r="L461"/>
    </row>
    <row r="462" spans="1:12">
      <c r="A462"/>
      <c r="B462"/>
      <c r="C462"/>
      <c r="D462"/>
      <c r="E462"/>
      <c r="F462"/>
      <c r="G462"/>
      <c r="H462"/>
      <c r="I462"/>
      <c r="J462"/>
      <c r="K462"/>
      <c r="L462"/>
    </row>
    <row r="463" spans="1:12">
      <c r="A463"/>
      <c r="B463"/>
      <c r="C463"/>
      <c r="D463"/>
      <c r="E463"/>
      <c r="F463"/>
      <c r="G463"/>
      <c r="H463"/>
      <c r="I463"/>
      <c r="J463"/>
      <c r="K463"/>
      <c r="L463"/>
    </row>
    <row r="464" spans="1:12">
      <c r="A464"/>
      <c r="B464"/>
      <c r="C464"/>
      <c r="D464"/>
      <c r="E464"/>
      <c r="F464"/>
      <c r="G464"/>
      <c r="H464"/>
      <c r="I464"/>
      <c r="J464"/>
      <c r="K464"/>
      <c r="L464"/>
    </row>
    <row r="465" spans="1:12">
      <c r="A465"/>
      <c r="B465"/>
      <c r="C465"/>
      <c r="D465"/>
      <c r="E465"/>
      <c r="F465"/>
      <c r="G465"/>
      <c r="H465"/>
      <c r="I465"/>
      <c r="J465"/>
      <c r="K465"/>
      <c r="L465"/>
    </row>
    <row r="466" spans="1:12">
      <c r="A466"/>
      <c r="B466"/>
      <c r="C466"/>
      <c r="D466"/>
      <c r="E466"/>
      <c r="F466"/>
      <c r="G466"/>
      <c r="H466"/>
      <c r="I466"/>
      <c r="J466"/>
      <c r="K466"/>
      <c r="L466"/>
    </row>
    <row r="467" spans="1:12">
      <c r="A467"/>
      <c r="B467"/>
      <c r="C467"/>
      <c r="D467"/>
      <c r="E467"/>
      <c r="F467"/>
      <c r="G467"/>
      <c r="H467"/>
      <c r="I467"/>
      <c r="J467"/>
      <c r="K467"/>
      <c r="L467"/>
    </row>
    <row r="468" spans="1:12">
      <c r="A468"/>
      <c r="B468"/>
      <c r="C468"/>
      <c r="D468"/>
      <c r="E468"/>
      <c r="F468"/>
      <c r="G468"/>
      <c r="H468"/>
      <c r="I468"/>
      <c r="J468"/>
      <c r="K468"/>
      <c r="L468"/>
    </row>
    <row r="469" spans="1:12">
      <c r="A469"/>
      <c r="B469"/>
      <c r="C469"/>
      <c r="D469"/>
      <c r="E469"/>
      <c r="F469"/>
      <c r="G469"/>
      <c r="H469"/>
      <c r="I469"/>
      <c r="J469"/>
      <c r="K469"/>
      <c r="L469"/>
    </row>
    <row r="470" spans="1:12">
      <c r="A470"/>
      <c r="B470"/>
      <c r="C470"/>
      <c r="D470"/>
      <c r="E470"/>
      <c r="F470"/>
      <c r="G470"/>
      <c r="H470"/>
      <c r="I470"/>
      <c r="J470"/>
      <c r="K470"/>
      <c r="L470"/>
    </row>
    <row r="471" spans="1:12">
      <c r="A471"/>
      <c r="B471"/>
      <c r="C471"/>
      <c r="D471"/>
      <c r="E471"/>
      <c r="F471"/>
      <c r="G471"/>
      <c r="H471"/>
      <c r="I471"/>
      <c r="J471"/>
      <c r="K471"/>
      <c r="L471"/>
    </row>
    <row r="472" spans="1:12">
      <c r="A472"/>
      <c r="B472"/>
      <c r="C472"/>
      <c r="D472"/>
      <c r="E472"/>
      <c r="F472"/>
      <c r="G472"/>
      <c r="H472"/>
      <c r="I472"/>
      <c r="J472"/>
      <c r="K472"/>
      <c r="L472"/>
    </row>
    <row r="473" spans="1:12">
      <c r="A473"/>
      <c r="B473"/>
      <c r="C473"/>
      <c r="D473"/>
      <c r="E473"/>
      <c r="F473"/>
      <c r="G473"/>
      <c r="H473"/>
      <c r="I473"/>
      <c r="J473"/>
      <c r="K473"/>
      <c r="L473"/>
    </row>
    <row r="474" spans="1:12">
      <c r="A474"/>
      <c r="B474"/>
      <c r="C474"/>
      <c r="D474"/>
      <c r="E474"/>
      <c r="F474"/>
      <c r="G474"/>
      <c r="H474"/>
      <c r="I474"/>
      <c r="J474"/>
      <c r="K474"/>
      <c r="L474"/>
    </row>
    <row r="475" spans="1:12">
      <c r="A475"/>
      <c r="B475"/>
      <c r="C475"/>
      <c r="D475"/>
      <c r="E475"/>
      <c r="F475"/>
      <c r="G475"/>
      <c r="H475"/>
      <c r="I475"/>
      <c r="J475"/>
      <c r="K475"/>
      <c r="L475"/>
    </row>
    <row r="476" spans="1:12">
      <c r="A476"/>
      <c r="B476"/>
      <c r="C476"/>
      <c r="D476"/>
      <c r="E476"/>
      <c r="F476"/>
      <c r="G476"/>
      <c r="H476"/>
      <c r="I476"/>
      <c r="J476"/>
      <c r="K476"/>
      <c r="L476"/>
    </row>
    <row r="477" spans="1:12">
      <c r="A477"/>
      <c r="B477"/>
      <c r="C477"/>
      <c r="D477"/>
      <c r="E477"/>
      <c r="F477"/>
      <c r="G477"/>
      <c r="H477"/>
      <c r="I477"/>
      <c r="J477"/>
      <c r="K477"/>
      <c r="L477"/>
    </row>
    <row r="478" spans="1:12">
      <c r="A478"/>
      <c r="B478"/>
      <c r="C478"/>
      <c r="D478"/>
      <c r="E478"/>
      <c r="F478"/>
      <c r="G478"/>
      <c r="H478"/>
      <c r="I478"/>
      <c r="J478"/>
      <c r="K478"/>
      <c r="L478"/>
    </row>
    <row r="479" spans="1:12">
      <c r="A479"/>
      <c r="B479"/>
      <c r="C479"/>
      <c r="D479"/>
      <c r="E479"/>
      <c r="F479"/>
      <c r="G479"/>
      <c r="H479"/>
      <c r="I479"/>
      <c r="J479"/>
      <c r="K479"/>
      <c r="L479"/>
    </row>
    <row r="480" spans="1:12">
      <c r="A480"/>
      <c r="B480"/>
      <c r="C480"/>
      <c r="D480"/>
      <c r="E480"/>
      <c r="F480"/>
      <c r="G480"/>
      <c r="H480"/>
      <c r="I480"/>
      <c r="J480"/>
      <c r="K480"/>
      <c r="L480"/>
    </row>
    <row r="481" spans="1:12">
      <c r="A481"/>
      <c r="B481"/>
      <c r="C481"/>
      <c r="D481"/>
      <c r="E481"/>
      <c r="F481"/>
      <c r="G481"/>
      <c r="H481"/>
      <c r="I481"/>
      <c r="J481"/>
      <c r="K481"/>
      <c r="L481"/>
    </row>
    <row r="482" spans="1:12">
      <c r="A482"/>
      <c r="B482"/>
      <c r="C482"/>
      <c r="D482"/>
      <c r="E482"/>
      <c r="F482"/>
      <c r="G482"/>
      <c r="H482"/>
      <c r="I482"/>
      <c r="J482"/>
      <c r="K482"/>
      <c r="L482"/>
    </row>
    <row r="483" spans="1:12">
      <c r="A483"/>
      <c r="B483"/>
      <c r="C483"/>
      <c r="D483"/>
      <c r="E483"/>
      <c r="F483"/>
      <c r="G483"/>
      <c r="H483"/>
      <c r="I483"/>
      <c r="J483"/>
      <c r="K483"/>
      <c r="L483"/>
    </row>
    <row r="484" spans="1:12">
      <c r="A484"/>
      <c r="B484"/>
      <c r="C484"/>
      <c r="D484"/>
      <c r="E484"/>
      <c r="F484"/>
      <c r="G484"/>
      <c r="H484"/>
      <c r="I484"/>
      <c r="J484"/>
      <c r="K484"/>
      <c r="L484"/>
    </row>
    <row r="485" spans="1:12">
      <c r="A485"/>
      <c r="B485"/>
      <c r="C485"/>
      <c r="D485"/>
      <c r="E485"/>
      <c r="F485"/>
      <c r="G485"/>
      <c r="H485"/>
      <c r="I485"/>
      <c r="J485"/>
      <c r="K485"/>
      <c r="L485"/>
    </row>
    <row r="486" spans="1:12">
      <c r="A486"/>
      <c r="B486"/>
      <c r="C486"/>
      <c r="D486"/>
      <c r="E486"/>
      <c r="F486"/>
      <c r="G486"/>
      <c r="H486"/>
      <c r="I486"/>
      <c r="J486"/>
      <c r="K486"/>
      <c r="L486"/>
    </row>
    <row r="487" spans="1:12">
      <c r="A487"/>
      <c r="B487"/>
      <c r="C487"/>
      <c r="D487"/>
      <c r="E487"/>
      <c r="F487"/>
      <c r="G487"/>
      <c r="H487"/>
      <c r="I487"/>
      <c r="J487"/>
      <c r="K487"/>
      <c r="L487"/>
    </row>
    <row r="488" spans="1:12">
      <c r="A488"/>
      <c r="B488"/>
      <c r="C488"/>
      <c r="D488"/>
      <c r="E488"/>
      <c r="F488"/>
      <c r="G488"/>
      <c r="H488"/>
      <c r="I488"/>
      <c r="J488"/>
      <c r="K488"/>
      <c r="L488"/>
    </row>
    <row r="489" spans="1:12">
      <c r="A489"/>
      <c r="B489"/>
      <c r="C489"/>
      <c r="D489"/>
      <c r="E489"/>
      <c r="F489"/>
      <c r="G489"/>
      <c r="H489"/>
      <c r="I489"/>
      <c r="J489"/>
      <c r="K489"/>
      <c r="L489"/>
    </row>
    <row r="490" spans="1:12">
      <c r="A490"/>
      <c r="B490"/>
      <c r="C490"/>
      <c r="D490"/>
      <c r="E490"/>
      <c r="F490"/>
      <c r="G490"/>
      <c r="H490"/>
      <c r="I490"/>
      <c r="J490"/>
      <c r="K490"/>
      <c r="L490"/>
    </row>
    <row r="491" spans="1:12">
      <c r="A491"/>
      <c r="B491"/>
      <c r="C491"/>
      <c r="D491"/>
      <c r="E491"/>
      <c r="F491"/>
      <c r="G491"/>
      <c r="H491"/>
      <c r="I491"/>
      <c r="J491"/>
      <c r="K491"/>
      <c r="L491"/>
    </row>
    <row r="492" spans="1:12">
      <c r="A492"/>
      <c r="B492"/>
      <c r="C492"/>
      <c r="D492"/>
      <c r="E492"/>
      <c r="F492"/>
      <c r="G492"/>
      <c r="H492"/>
      <c r="I492"/>
      <c r="J492"/>
      <c r="K492"/>
      <c r="L492"/>
    </row>
    <row r="493" spans="1:12">
      <c r="A493"/>
      <c r="B493"/>
      <c r="C493"/>
      <c r="D493"/>
      <c r="E493"/>
      <c r="F493"/>
      <c r="G493"/>
      <c r="H493"/>
      <c r="I493"/>
      <c r="J493"/>
      <c r="K493"/>
      <c r="L493"/>
    </row>
    <row r="494" spans="1:12">
      <c r="A494"/>
      <c r="B494"/>
      <c r="C494"/>
      <c r="D494"/>
      <c r="E494"/>
      <c r="F494"/>
      <c r="G494"/>
      <c r="H494"/>
      <c r="I494"/>
      <c r="J494"/>
      <c r="K494"/>
      <c r="L494"/>
    </row>
    <row r="495" spans="1:12">
      <c r="A495"/>
      <c r="B495"/>
      <c r="C495"/>
      <c r="D495"/>
      <c r="E495"/>
      <c r="F495"/>
      <c r="G495"/>
      <c r="H495"/>
      <c r="I495"/>
      <c r="J495"/>
      <c r="K495"/>
      <c r="L495"/>
    </row>
    <row r="496" spans="1:12">
      <c r="A496"/>
      <c r="B496"/>
      <c r="C496"/>
      <c r="D496"/>
      <c r="E496"/>
      <c r="F496"/>
      <c r="G496"/>
      <c r="H496"/>
      <c r="I496"/>
      <c r="J496"/>
      <c r="K496"/>
      <c r="L496"/>
    </row>
    <row r="497" spans="1:12">
      <c r="A497"/>
      <c r="B497"/>
      <c r="C497"/>
      <c r="D497"/>
      <c r="E497"/>
      <c r="F497"/>
      <c r="G497"/>
      <c r="H497"/>
      <c r="I497"/>
      <c r="J497"/>
      <c r="K497"/>
      <c r="L497"/>
    </row>
    <row r="498" spans="1:12">
      <c r="A498"/>
      <c r="B498"/>
      <c r="C498"/>
      <c r="D498"/>
      <c r="E498"/>
      <c r="F498"/>
      <c r="G498"/>
      <c r="H498"/>
      <c r="I498"/>
      <c r="J498"/>
      <c r="K498"/>
      <c r="L498"/>
    </row>
    <row r="499" spans="1:12">
      <c r="A499"/>
      <c r="B499"/>
      <c r="C499"/>
      <c r="D499"/>
      <c r="E499"/>
      <c r="F499"/>
      <c r="G499"/>
      <c r="H499"/>
      <c r="I499"/>
      <c r="J499"/>
      <c r="K499"/>
      <c r="L499"/>
    </row>
    <row r="500" spans="1:12">
      <c r="A500"/>
      <c r="B500"/>
      <c r="C500"/>
      <c r="D500"/>
      <c r="E500"/>
      <c r="F500"/>
      <c r="G500"/>
      <c r="H500"/>
      <c r="I500"/>
      <c r="J500"/>
      <c r="K500"/>
      <c r="L500"/>
    </row>
    <row r="501" spans="1:12">
      <c r="A501"/>
      <c r="B501"/>
      <c r="C501"/>
      <c r="D501"/>
      <c r="E501"/>
      <c r="F501"/>
      <c r="G501"/>
      <c r="H501"/>
      <c r="I501"/>
      <c r="J501"/>
      <c r="K501"/>
      <c r="L501"/>
    </row>
    <row r="502" spans="1:12">
      <c r="A502"/>
      <c r="B502"/>
      <c r="C502"/>
      <c r="D502"/>
      <c r="E502"/>
      <c r="F502"/>
      <c r="G502"/>
      <c r="H502"/>
      <c r="I502"/>
      <c r="J502"/>
      <c r="K502"/>
      <c r="L502"/>
    </row>
    <row r="503" spans="1:12">
      <c r="A503"/>
      <c r="B503"/>
      <c r="C503"/>
      <c r="D503"/>
      <c r="E503"/>
      <c r="F503"/>
      <c r="G503"/>
      <c r="H503"/>
      <c r="I503"/>
      <c r="J503"/>
      <c r="K503"/>
      <c r="L503"/>
    </row>
    <row r="504" spans="1:12">
      <c r="A504"/>
      <c r="B504"/>
      <c r="C504"/>
      <c r="D504"/>
      <c r="E504"/>
      <c r="F504"/>
      <c r="G504"/>
      <c r="H504"/>
      <c r="I504"/>
      <c r="J504"/>
      <c r="K504"/>
      <c r="L504"/>
    </row>
    <row r="505" spans="1:12">
      <c r="A505"/>
      <c r="B505"/>
      <c r="C505"/>
      <c r="D505"/>
      <c r="E505"/>
      <c r="F505"/>
      <c r="G505"/>
      <c r="H505"/>
      <c r="I505"/>
      <c r="J505"/>
      <c r="K505"/>
      <c r="L505"/>
    </row>
    <row r="506" spans="1:12">
      <c r="A506"/>
      <c r="B506"/>
      <c r="C506"/>
      <c r="D506"/>
      <c r="E506"/>
      <c r="F506"/>
      <c r="G506"/>
      <c r="H506"/>
      <c r="I506"/>
      <c r="J506"/>
      <c r="K506"/>
      <c r="L506"/>
    </row>
    <row r="507" spans="1:12">
      <c r="A507"/>
      <c r="B507"/>
      <c r="C507"/>
      <c r="D507"/>
      <c r="E507"/>
      <c r="F507"/>
      <c r="G507"/>
      <c r="H507"/>
      <c r="I507"/>
      <c r="J507"/>
      <c r="K507"/>
      <c r="L507"/>
    </row>
    <row r="508" spans="1:12">
      <c r="A508"/>
      <c r="B508"/>
      <c r="C508"/>
      <c r="D508"/>
      <c r="E508"/>
      <c r="F508"/>
      <c r="G508"/>
      <c r="H508"/>
      <c r="I508"/>
      <c r="J508"/>
      <c r="K508"/>
      <c r="L508"/>
    </row>
    <row r="509" spans="1:12">
      <c r="A509"/>
      <c r="B509"/>
      <c r="C509"/>
      <c r="D509"/>
      <c r="E509"/>
      <c r="F509"/>
      <c r="G509"/>
      <c r="H509"/>
      <c r="I509"/>
      <c r="J509"/>
      <c r="K509"/>
      <c r="L509"/>
    </row>
    <row r="510" spans="1:12">
      <c r="A510"/>
      <c r="B510"/>
      <c r="C510"/>
      <c r="D510"/>
      <c r="E510"/>
      <c r="F510"/>
      <c r="G510"/>
      <c r="H510"/>
      <c r="I510"/>
      <c r="J510"/>
      <c r="K510"/>
      <c r="L510"/>
    </row>
    <row r="511" spans="1:12">
      <c r="A511"/>
      <c r="B511"/>
      <c r="C511"/>
      <c r="D511"/>
      <c r="E511"/>
      <c r="F511"/>
      <c r="G511"/>
      <c r="H511"/>
      <c r="I511"/>
      <c r="J511"/>
      <c r="K511"/>
      <c r="L511"/>
    </row>
    <row r="512" spans="1:12">
      <c r="A512"/>
      <c r="B512"/>
      <c r="C512"/>
      <c r="D512"/>
      <c r="E512"/>
      <c r="F512"/>
      <c r="G512"/>
      <c r="H512"/>
      <c r="I512"/>
      <c r="J512"/>
      <c r="K512"/>
      <c r="L512"/>
    </row>
    <row r="513" spans="1:12">
      <c r="A513"/>
      <c r="B513"/>
      <c r="C513"/>
      <c r="D513"/>
      <c r="E513"/>
      <c r="F513"/>
      <c r="G513"/>
      <c r="H513"/>
      <c r="I513"/>
      <c r="J513"/>
      <c r="K513"/>
      <c r="L513"/>
    </row>
    <row r="514" spans="1:12">
      <c r="A514"/>
      <c r="B514"/>
      <c r="C514"/>
      <c r="D514"/>
      <c r="E514"/>
      <c r="F514"/>
      <c r="G514"/>
      <c r="H514"/>
      <c r="I514"/>
      <c r="J514"/>
      <c r="K514"/>
      <c r="L514"/>
    </row>
    <row r="515" spans="1:12">
      <c r="A515"/>
      <c r="B515"/>
      <c r="C515"/>
      <c r="D515"/>
      <c r="E515"/>
      <c r="F515"/>
      <c r="G515"/>
      <c r="H515"/>
      <c r="I515"/>
      <c r="J515"/>
      <c r="K515"/>
      <c r="L515"/>
    </row>
    <row r="516" spans="1:12">
      <c r="A516"/>
      <c r="B516"/>
      <c r="C516"/>
      <c r="D516"/>
      <c r="E516"/>
      <c r="F516"/>
      <c r="G516"/>
      <c r="H516"/>
      <c r="I516"/>
      <c r="J516"/>
      <c r="K516"/>
      <c r="L516"/>
    </row>
    <row r="517" spans="1:12">
      <c r="A517"/>
      <c r="B517"/>
      <c r="C517"/>
      <c r="D517"/>
      <c r="E517"/>
      <c r="F517"/>
      <c r="G517"/>
      <c r="H517"/>
      <c r="I517"/>
      <c r="J517"/>
      <c r="K517"/>
      <c r="L517"/>
    </row>
    <row r="518" spans="1:12">
      <c r="A518"/>
      <c r="B518"/>
      <c r="C518"/>
      <c r="D518"/>
      <c r="E518"/>
      <c r="F518"/>
      <c r="G518"/>
      <c r="H518"/>
      <c r="I518"/>
      <c r="J518"/>
      <c r="K518"/>
      <c r="L518"/>
    </row>
    <row r="519" spans="1:12">
      <c r="A519"/>
      <c r="B519"/>
      <c r="C519"/>
      <c r="D519"/>
      <c r="E519"/>
      <c r="F519"/>
      <c r="G519"/>
      <c r="H519"/>
      <c r="I519"/>
      <c r="J519"/>
      <c r="K519"/>
      <c r="L519"/>
    </row>
    <row r="520" spans="1:12">
      <c r="A520"/>
      <c r="B520"/>
      <c r="C520"/>
      <c r="D520"/>
      <c r="E520"/>
      <c r="F520"/>
      <c r="G520"/>
      <c r="H520"/>
      <c r="I520"/>
      <c r="J520"/>
      <c r="K520"/>
      <c r="L520"/>
    </row>
    <row r="521" spans="1:12">
      <c r="A521"/>
      <c r="B521"/>
      <c r="C521"/>
      <c r="D521"/>
      <c r="E521"/>
      <c r="F521"/>
      <c r="G521"/>
      <c r="H521"/>
      <c r="I521"/>
      <c r="J521"/>
      <c r="K521"/>
      <c r="L521"/>
    </row>
    <row r="522" spans="1:12">
      <c r="A522"/>
      <c r="B522"/>
      <c r="C522"/>
      <c r="D522"/>
      <c r="E522"/>
      <c r="F522"/>
      <c r="G522"/>
      <c r="H522"/>
      <c r="I522"/>
      <c r="J522"/>
      <c r="K522"/>
      <c r="L522"/>
    </row>
    <row r="523" spans="1:12">
      <c r="A523"/>
      <c r="B523"/>
      <c r="C523"/>
      <c r="D523"/>
      <c r="E523"/>
      <c r="F523"/>
      <c r="G523"/>
      <c r="H523"/>
      <c r="I523"/>
      <c r="J523"/>
      <c r="K523"/>
      <c r="L523"/>
    </row>
    <row r="524" spans="1:12">
      <c r="A524"/>
      <c r="B524"/>
      <c r="C524"/>
      <c r="D524"/>
      <c r="E524"/>
      <c r="F524"/>
      <c r="G524"/>
      <c r="H524"/>
      <c r="I524"/>
      <c r="J524"/>
      <c r="K524"/>
      <c r="L524"/>
    </row>
    <row r="525" spans="1:12">
      <c r="A525"/>
      <c r="B525"/>
      <c r="C525"/>
      <c r="D525"/>
      <c r="E525"/>
      <c r="F525"/>
      <c r="G525"/>
      <c r="H525"/>
      <c r="I525"/>
      <c r="J525"/>
      <c r="K525"/>
      <c r="L525"/>
    </row>
    <row r="526" spans="1:12">
      <c r="A526"/>
      <c r="B526"/>
      <c r="C526"/>
      <c r="D526"/>
      <c r="E526"/>
      <c r="F526"/>
      <c r="G526"/>
      <c r="H526"/>
      <c r="I526"/>
      <c r="J526"/>
      <c r="K526"/>
      <c r="L526"/>
    </row>
    <row r="527" spans="1:12">
      <c r="A527"/>
      <c r="B527"/>
      <c r="C527"/>
      <c r="D527"/>
      <c r="E527"/>
      <c r="F527"/>
      <c r="G527"/>
      <c r="H527"/>
      <c r="I527"/>
      <c r="J527"/>
      <c r="K527"/>
      <c r="L527"/>
    </row>
    <row r="528" spans="1:12">
      <c r="A528"/>
      <c r="B528"/>
      <c r="C528"/>
      <c r="D528"/>
      <c r="E528"/>
      <c r="F528"/>
      <c r="G528"/>
      <c r="H528"/>
      <c r="I528"/>
      <c r="J528"/>
      <c r="K528"/>
      <c r="L528"/>
    </row>
    <row r="529" spans="1:12">
      <c r="A529"/>
      <c r="B529"/>
      <c r="C529"/>
      <c r="D529"/>
      <c r="E529"/>
      <c r="F529"/>
      <c r="G529"/>
      <c r="H529"/>
      <c r="I529"/>
      <c r="J529"/>
      <c r="K529"/>
      <c r="L529"/>
    </row>
    <row r="530" spans="1:12">
      <c r="A530"/>
      <c r="B530"/>
      <c r="C530"/>
      <c r="D530"/>
      <c r="E530"/>
      <c r="F530"/>
      <c r="G530"/>
      <c r="H530"/>
      <c r="I530"/>
      <c r="J530"/>
      <c r="K530"/>
      <c r="L530"/>
    </row>
    <row r="531" spans="1:12">
      <c r="A531"/>
      <c r="B531"/>
      <c r="C531"/>
      <c r="D531"/>
      <c r="E531"/>
      <c r="F531"/>
      <c r="G531"/>
      <c r="H531"/>
      <c r="I531"/>
      <c r="J531"/>
      <c r="K531"/>
      <c r="L531"/>
    </row>
    <row r="532" spans="1:12">
      <c r="A532"/>
      <c r="B532"/>
      <c r="C532"/>
      <c r="D532"/>
      <c r="E532"/>
      <c r="F532"/>
      <c r="G532"/>
      <c r="H532"/>
      <c r="I532"/>
      <c r="J532"/>
      <c r="K532"/>
      <c r="L532"/>
    </row>
    <row r="533" spans="1:12">
      <c r="A533"/>
      <c r="B533"/>
      <c r="C533"/>
      <c r="D533"/>
      <c r="E533"/>
      <c r="F533"/>
      <c r="G533"/>
      <c r="H533"/>
      <c r="I533"/>
      <c r="J533"/>
      <c r="K533"/>
      <c r="L533"/>
    </row>
    <row r="534" spans="1:12">
      <c r="A534"/>
      <c r="B534"/>
      <c r="C534"/>
      <c r="D534"/>
      <c r="E534"/>
      <c r="F534"/>
      <c r="G534"/>
      <c r="H534"/>
      <c r="I534"/>
      <c r="J534"/>
      <c r="K534"/>
      <c r="L534"/>
    </row>
    <row r="535" spans="1:12">
      <c r="A535"/>
      <c r="B535"/>
      <c r="C535"/>
      <c r="D535"/>
      <c r="E535"/>
      <c r="F535"/>
      <c r="G535"/>
      <c r="H535"/>
      <c r="I535"/>
      <c r="J535"/>
      <c r="K535"/>
      <c r="L535"/>
    </row>
    <row r="536" spans="1:12">
      <c r="A536"/>
      <c r="B536"/>
      <c r="C536"/>
      <c r="D536"/>
      <c r="E536"/>
      <c r="F536"/>
      <c r="G536"/>
      <c r="H536"/>
      <c r="I536"/>
      <c r="J536"/>
      <c r="K536"/>
      <c r="L536"/>
    </row>
    <row r="537" spans="1:12">
      <c r="A537"/>
      <c r="B537"/>
      <c r="C537"/>
      <c r="D537"/>
      <c r="E537"/>
      <c r="F537"/>
      <c r="G537"/>
      <c r="H537"/>
      <c r="I537"/>
      <c r="J537"/>
      <c r="K537"/>
      <c r="L537"/>
    </row>
    <row r="538" spans="1:12">
      <c r="A538"/>
      <c r="B538"/>
      <c r="C538"/>
      <c r="D538"/>
      <c r="E538"/>
      <c r="F538"/>
      <c r="G538"/>
      <c r="H538"/>
      <c r="I538"/>
      <c r="J538"/>
      <c r="K538"/>
      <c r="L538"/>
    </row>
    <row r="539" spans="1:12">
      <c r="A539"/>
      <c r="B539"/>
      <c r="C539"/>
      <c r="D539"/>
      <c r="E539"/>
      <c r="F539"/>
      <c r="G539"/>
      <c r="H539"/>
      <c r="I539"/>
      <c r="J539"/>
      <c r="K539"/>
      <c r="L539"/>
    </row>
    <row r="540" spans="1:12">
      <c r="A540"/>
      <c r="B540"/>
      <c r="C540"/>
      <c r="D540"/>
      <c r="E540"/>
      <c r="F540"/>
      <c r="G540"/>
      <c r="H540"/>
      <c r="I540"/>
      <c r="J540"/>
      <c r="K540"/>
      <c r="L540"/>
    </row>
    <row r="541" spans="1:12">
      <c r="A541"/>
      <c r="B541"/>
      <c r="C541"/>
      <c r="D541"/>
      <c r="E541"/>
      <c r="F541"/>
      <c r="G541"/>
      <c r="H541"/>
      <c r="I541"/>
      <c r="J541"/>
      <c r="K541"/>
      <c r="L541"/>
    </row>
    <row r="542" spans="1:12">
      <c r="A542"/>
      <c r="B542"/>
      <c r="C542"/>
      <c r="D542"/>
      <c r="E542"/>
      <c r="F542"/>
      <c r="G542"/>
      <c r="H542"/>
      <c r="I542"/>
      <c r="J542"/>
      <c r="K542"/>
      <c r="L542"/>
    </row>
    <row r="543" spans="1:12">
      <c r="A543"/>
      <c r="B543"/>
      <c r="C543"/>
      <c r="D543"/>
      <c r="E543"/>
      <c r="F543"/>
      <c r="G543"/>
      <c r="H543"/>
      <c r="I543"/>
      <c r="J543"/>
      <c r="K543"/>
      <c r="L543"/>
    </row>
    <row r="544" spans="1:12">
      <c r="A544"/>
      <c r="B544"/>
      <c r="C544"/>
      <c r="D544"/>
      <c r="E544"/>
      <c r="F544"/>
      <c r="G544"/>
      <c r="H544"/>
      <c r="I544"/>
      <c r="J544"/>
      <c r="K544"/>
      <c r="L544"/>
    </row>
    <row r="545" spans="1:12">
      <c r="A545"/>
      <c r="B545"/>
      <c r="C545"/>
      <c r="D545"/>
      <c r="E545"/>
      <c r="F545"/>
      <c r="G545"/>
      <c r="H545"/>
      <c r="I545"/>
      <c r="J545"/>
      <c r="K545"/>
      <c r="L545"/>
    </row>
    <row r="546" spans="1:12">
      <c r="A546"/>
      <c r="B546"/>
      <c r="C546"/>
      <c r="D546"/>
      <c r="E546"/>
      <c r="F546"/>
      <c r="G546"/>
      <c r="H546"/>
      <c r="I546"/>
      <c r="J546"/>
      <c r="K546"/>
      <c r="L546"/>
    </row>
    <row r="547" spans="1:12">
      <c r="A547"/>
      <c r="B547"/>
      <c r="C547"/>
      <c r="D547"/>
      <c r="E547"/>
      <c r="F547"/>
      <c r="G547"/>
      <c r="H547"/>
      <c r="I547"/>
      <c r="J547"/>
      <c r="K547"/>
      <c r="L547"/>
    </row>
    <row r="548" spans="1:12">
      <c r="A548"/>
      <c r="B548"/>
      <c r="C548"/>
      <c r="D548"/>
      <c r="E548"/>
      <c r="F548"/>
      <c r="G548"/>
      <c r="H548"/>
      <c r="I548"/>
      <c r="J548"/>
      <c r="K548"/>
      <c r="L548"/>
    </row>
    <row r="549" spans="1:12">
      <c r="A549"/>
      <c r="B549"/>
      <c r="C549"/>
      <c r="D549"/>
      <c r="E549"/>
      <c r="F549"/>
      <c r="G549"/>
      <c r="H549"/>
      <c r="I549"/>
      <c r="J549"/>
      <c r="K549"/>
      <c r="L549"/>
    </row>
    <row r="550" spans="1:12">
      <c r="A550"/>
      <c r="B550"/>
      <c r="C550"/>
      <c r="D550"/>
      <c r="E550"/>
      <c r="F550"/>
      <c r="G550"/>
      <c r="H550"/>
      <c r="I550"/>
      <c r="J550"/>
      <c r="K550"/>
      <c r="L550"/>
    </row>
    <row r="551" spans="1:12">
      <c r="A551"/>
      <c r="B551"/>
      <c r="C551"/>
      <c r="D551"/>
      <c r="E551"/>
      <c r="F551"/>
      <c r="G551"/>
      <c r="H551"/>
      <c r="I551"/>
      <c r="J551"/>
      <c r="K551"/>
      <c r="L551"/>
    </row>
    <row r="552" spans="1:12">
      <c r="A552"/>
      <c r="B552"/>
      <c r="C552"/>
      <c r="D552"/>
      <c r="E552"/>
      <c r="F552"/>
      <c r="G552"/>
      <c r="H552"/>
      <c r="I552"/>
      <c r="J552"/>
      <c r="K552"/>
      <c r="L552"/>
    </row>
    <row r="553" spans="1:12">
      <c r="A553"/>
      <c r="B553"/>
      <c r="C553"/>
      <c r="D553"/>
      <c r="E553"/>
      <c r="F553"/>
      <c r="G553"/>
      <c r="H553"/>
      <c r="I553"/>
      <c r="J553"/>
      <c r="K553"/>
      <c r="L553"/>
    </row>
    <row r="554" spans="1:12">
      <c r="A554"/>
      <c r="B554"/>
      <c r="C554"/>
      <c r="D554"/>
      <c r="E554"/>
      <c r="F554"/>
      <c r="G554"/>
      <c r="H554"/>
      <c r="I554"/>
      <c r="J554"/>
      <c r="K554"/>
      <c r="L554"/>
    </row>
    <row r="555" spans="1:12">
      <c r="A555"/>
      <c r="B555"/>
      <c r="C555"/>
      <c r="D555"/>
      <c r="E555"/>
      <c r="F555"/>
      <c r="G555"/>
      <c r="H555"/>
      <c r="I555"/>
      <c r="J555"/>
      <c r="K555"/>
      <c r="L555"/>
    </row>
    <row r="556" spans="1:12">
      <c r="A556"/>
      <c r="B556"/>
      <c r="C556"/>
      <c r="D556"/>
      <c r="E556"/>
      <c r="F556"/>
      <c r="G556"/>
      <c r="H556"/>
      <c r="I556"/>
      <c r="J556"/>
      <c r="K556"/>
      <c r="L556"/>
    </row>
    <row r="557" spans="1:12">
      <c r="A557"/>
      <c r="B557"/>
      <c r="C557"/>
      <c r="D557"/>
      <c r="E557"/>
      <c r="F557"/>
      <c r="G557"/>
      <c r="H557"/>
      <c r="I557"/>
      <c r="J557"/>
      <c r="K557"/>
      <c r="L557"/>
    </row>
    <row r="558" spans="1:12">
      <c r="A558"/>
      <c r="B558"/>
      <c r="C558"/>
      <c r="D558"/>
      <c r="E558"/>
      <c r="F558"/>
      <c r="G558"/>
      <c r="H558"/>
      <c r="I558"/>
      <c r="J558"/>
      <c r="K558"/>
      <c r="L558"/>
    </row>
    <row r="559" spans="1:12">
      <c r="A559"/>
      <c r="B559"/>
      <c r="C559"/>
      <c r="D559"/>
      <c r="E559"/>
      <c r="F559"/>
      <c r="G559"/>
      <c r="H559"/>
      <c r="I559"/>
      <c r="J559"/>
      <c r="K559"/>
      <c r="L559"/>
    </row>
    <row r="560" spans="1:12">
      <c r="A560"/>
      <c r="B560"/>
      <c r="C560"/>
      <c r="D560"/>
      <c r="E560"/>
      <c r="F560"/>
      <c r="G560"/>
      <c r="H560"/>
      <c r="I560"/>
      <c r="J560"/>
      <c r="K560"/>
      <c r="L560"/>
    </row>
    <row r="561" spans="1:12">
      <c r="A561"/>
      <c r="B561"/>
      <c r="C561"/>
      <c r="D561"/>
      <c r="E561"/>
      <c r="F561"/>
      <c r="G561"/>
      <c r="H561"/>
      <c r="I561"/>
      <c r="J561"/>
      <c r="K561"/>
      <c r="L561"/>
    </row>
    <row r="562" spans="1:12">
      <c r="A562"/>
      <c r="B562"/>
      <c r="C562"/>
      <c r="D562"/>
      <c r="E562"/>
      <c r="F562"/>
      <c r="G562"/>
      <c r="H562"/>
      <c r="I562"/>
      <c r="J562"/>
      <c r="K562"/>
      <c r="L562"/>
    </row>
    <row r="563" spans="1:12">
      <c r="A563"/>
      <c r="B563"/>
      <c r="C563"/>
      <c r="D563"/>
      <c r="E563"/>
      <c r="F563"/>
      <c r="G563"/>
      <c r="H563"/>
      <c r="I563"/>
      <c r="J563"/>
      <c r="K563"/>
      <c r="L563"/>
    </row>
    <row r="564" spans="1:12">
      <c r="A564"/>
      <c r="B564"/>
      <c r="C564"/>
      <c r="D564"/>
      <c r="E564"/>
      <c r="F564"/>
      <c r="G564"/>
      <c r="H564"/>
      <c r="I564"/>
      <c r="J564"/>
      <c r="K564"/>
      <c r="L564"/>
    </row>
    <row r="565" spans="1:12">
      <c r="A565"/>
      <c r="B565"/>
      <c r="C565"/>
      <c r="D565"/>
      <c r="E565"/>
      <c r="F565"/>
      <c r="G565"/>
      <c r="H565"/>
      <c r="I565"/>
      <c r="J565"/>
      <c r="K565"/>
      <c r="L565"/>
    </row>
    <row r="566" spans="1:12">
      <c r="A566"/>
      <c r="B566"/>
      <c r="C566"/>
      <c r="D566"/>
      <c r="E566"/>
      <c r="F566"/>
      <c r="G566"/>
      <c r="H566"/>
      <c r="I566"/>
      <c r="J566"/>
      <c r="K566"/>
      <c r="L566"/>
    </row>
    <row r="567" spans="1:12">
      <c r="A567"/>
      <c r="B567"/>
      <c r="C567"/>
      <c r="D567"/>
      <c r="E567"/>
      <c r="F567"/>
      <c r="G567"/>
      <c r="H567"/>
      <c r="I567"/>
      <c r="J567"/>
      <c r="K567"/>
      <c r="L567"/>
    </row>
    <row r="568" spans="1:12">
      <c r="A568"/>
      <c r="B568"/>
      <c r="C568"/>
      <c r="D568"/>
      <c r="E568"/>
      <c r="F568"/>
      <c r="G568"/>
      <c r="H568"/>
      <c r="I568"/>
      <c r="J568"/>
      <c r="K568"/>
      <c r="L568"/>
    </row>
    <row r="569" spans="1:12">
      <c r="A569"/>
      <c r="B569"/>
      <c r="C569"/>
      <c r="D569"/>
      <c r="E569"/>
      <c r="F569"/>
      <c r="G569"/>
      <c r="H569"/>
      <c r="I569"/>
      <c r="J569"/>
      <c r="K569"/>
      <c r="L569"/>
    </row>
    <row r="570" spans="1:12">
      <c r="A570"/>
      <c r="B570"/>
      <c r="C570"/>
      <c r="D570"/>
      <c r="E570"/>
      <c r="F570"/>
      <c r="G570"/>
      <c r="H570"/>
      <c r="I570"/>
      <c r="J570"/>
      <c r="K570"/>
      <c r="L570"/>
    </row>
    <row r="571" spans="1:12">
      <c r="A571"/>
      <c r="B571"/>
      <c r="C571"/>
      <c r="D571"/>
      <c r="E571"/>
      <c r="F571"/>
      <c r="G571"/>
      <c r="H571"/>
      <c r="I571"/>
      <c r="J571"/>
      <c r="K571"/>
      <c r="L571"/>
    </row>
    <row r="572" spans="1:12">
      <c r="A572"/>
      <c r="B572"/>
      <c r="C572"/>
      <c r="D572"/>
      <c r="E572"/>
      <c r="F572"/>
      <c r="G572"/>
      <c r="H572"/>
      <c r="I572"/>
      <c r="J572"/>
      <c r="K572"/>
      <c r="L572"/>
    </row>
    <row r="573" spans="1:12">
      <c r="A573"/>
      <c r="B573"/>
      <c r="C573"/>
      <c r="D573"/>
      <c r="E573"/>
      <c r="F573"/>
      <c r="G573"/>
      <c r="H573"/>
      <c r="I573"/>
      <c r="J573"/>
      <c r="K573"/>
      <c r="L573"/>
    </row>
    <row r="574" spans="1:12">
      <c r="A574"/>
      <c r="B574"/>
      <c r="C574"/>
      <c r="D574"/>
      <c r="E574"/>
      <c r="F574"/>
      <c r="G574"/>
      <c r="H574"/>
      <c r="I574"/>
      <c r="J574"/>
      <c r="K574"/>
      <c r="L574"/>
    </row>
    <row r="575" spans="1:12">
      <c r="A575"/>
      <c r="B575"/>
      <c r="C575"/>
      <c r="D575"/>
      <c r="E575"/>
      <c r="F575"/>
      <c r="G575"/>
      <c r="H575"/>
      <c r="I575"/>
      <c r="J575"/>
      <c r="K575"/>
      <c r="L575"/>
    </row>
    <row r="576" spans="1:12">
      <c r="A576"/>
      <c r="B576"/>
      <c r="C576"/>
      <c r="D576"/>
      <c r="E576"/>
      <c r="F576"/>
      <c r="G576"/>
      <c r="H576"/>
      <c r="I576"/>
      <c r="J576"/>
      <c r="K576"/>
      <c r="L576"/>
    </row>
    <row r="577" spans="1:12">
      <c r="A577"/>
      <c r="B577"/>
      <c r="C577"/>
      <c r="D577"/>
      <c r="E577"/>
      <c r="F577"/>
      <c r="G577"/>
      <c r="H577"/>
      <c r="I577"/>
      <c r="J577"/>
      <c r="K577"/>
      <c r="L577"/>
    </row>
    <row r="578" spans="1:12">
      <c r="A578"/>
      <c r="B578"/>
      <c r="C578"/>
      <c r="D578"/>
      <c r="E578"/>
      <c r="F578"/>
      <c r="G578"/>
      <c r="H578"/>
      <c r="I578"/>
      <c r="J578"/>
      <c r="K578"/>
      <c r="L578"/>
    </row>
    <row r="579" spans="1:12">
      <c r="A579"/>
      <c r="B579"/>
      <c r="C579"/>
      <c r="D579"/>
      <c r="E579"/>
      <c r="F579"/>
      <c r="G579"/>
      <c r="H579"/>
      <c r="I579"/>
      <c r="J579"/>
      <c r="K579"/>
      <c r="L579"/>
    </row>
    <row r="580" spans="1:12">
      <c r="A580"/>
      <c r="B580"/>
      <c r="C580"/>
      <c r="D580"/>
      <c r="E580"/>
      <c r="F580"/>
      <c r="G580"/>
      <c r="H580"/>
      <c r="I580"/>
      <c r="J580"/>
      <c r="K580"/>
      <c r="L580"/>
    </row>
    <row r="581" spans="1:12">
      <c r="A581"/>
      <c r="B581"/>
      <c r="C581"/>
      <c r="D581"/>
      <c r="E581"/>
      <c r="F581"/>
      <c r="G581"/>
      <c r="H581"/>
      <c r="I581"/>
      <c r="J581"/>
      <c r="K581"/>
      <c r="L581"/>
    </row>
    <row r="582" spans="1:12">
      <c r="A582"/>
      <c r="B582"/>
      <c r="C582"/>
      <c r="D582"/>
      <c r="E582"/>
      <c r="F582"/>
      <c r="G582"/>
      <c r="H582"/>
      <c r="I582"/>
      <c r="J582"/>
      <c r="K582"/>
      <c r="L582"/>
    </row>
    <row r="583" spans="1:12">
      <c r="A583"/>
      <c r="B583"/>
      <c r="C583"/>
      <c r="D583"/>
      <c r="E583"/>
      <c r="F583"/>
      <c r="G583"/>
      <c r="H583"/>
      <c r="I583"/>
      <c r="J583"/>
      <c r="K583"/>
      <c r="L583"/>
    </row>
    <row r="584" spans="1:12">
      <c r="A584"/>
      <c r="B584"/>
      <c r="C584"/>
      <c r="D584"/>
      <c r="E584"/>
      <c r="F584"/>
      <c r="G584"/>
      <c r="H584"/>
      <c r="I584"/>
      <c r="J584"/>
      <c r="K584"/>
      <c r="L584"/>
    </row>
    <row r="585" spans="1:12">
      <c r="A585"/>
      <c r="B585"/>
      <c r="C585"/>
      <c r="D585"/>
      <c r="E585"/>
      <c r="F585"/>
      <c r="G585"/>
      <c r="H585"/>
      <c r="I585"/>
      <c r="J585"/>
      <c r="K585"/>
      <c r="L585"/>
    </row>
    <row r="586" spans="1:12">
      <c r="A586"/>
      <c r="B586"/>
      <c r="C586"/>
      <c r="D586"/>
      <c r="E586"/>
      <c r="F586"/>
      <c r="G586"/>
      <c r="H586"/>
      <c r="I586"/>
      <c r="J586"/>
      <c r="K586"/>
      <c r="L586"/>
    </row>
    <row r="587" spans="1:12">
      <c r="A587"/>
      <c r="B587"/>
      <c r="C587"/>
      <c r="D587"/>
      <c r="E587"/>
      <c r="F587"/>
      <c r="G587"/>
      <c r="H587"/>
      <c r="I587"/>
      <c r="J587"/>
      <c r="K587"/>
      <c r="L587"/>
    </row>
    <row r="588" spans="1:12">
      <c r="A588"/>
      <c r="B588"/>
      <c r="C588"/>
      <c r="D588"/>
      <c r="E588"/>
      <c r="F588"/>
      <c r="G588"/>
      <c r="H588"/>
      <c r="I588"/>
      <c r="J588"/>
      <c r="K588"/>
      <c r="L588"/>
    </row>
    <row r="589" spans="1:12">
      <c r="A589"/>
      <c r="B589"/>
      <c r="C589"/>
      <c r="D589"/>
      <c r="E589"/>
      <c r="F589"/>
      <c r="G589"/>
      <c r="H589"/>
      <c r="I589"/>
      <c r="J589"/>
      <c r="K589"/>
      <c r="L589"/>
    </row>
    <row r="590" spans="1:12">
      <c r="A590"/>
      <c r="B590"/>
      <c r="C590"/>
      <c r="D590"/>
      <c r="E590"/>
      <c r="F590"/>
      <c r="G590"/>
      <c r="H590"/>
      <c r="I590"/>
      <c r="J590"/>
      <c r="K590"/>
      <c r="L590"/>
    </row>
    <row r="591" spans="1:12">
      <c r="A591"/>
      <c r="B591"/>
      <c r="C591"/>
      <c r="D591"/>
      <c r="E591"/>
      <c r="F591"/>
      <c r="G591"/>
      <c r="H591"/>
      <c r="I591"/>
      <c r="J591"/>
      <c r="K591"/>
      <c r="L591"/>
    </row>
    <row r="592" spans="1:12">
      <c r="A592"/>
      <c r="B592"/>
      <c r="C592"/>
      <c r="D592"/>
      <c r="E592"/>
      <c r="F592"/>
      <c r="G592"/>
      <c r="H592"/>
      <c r="I592"/>
      <c r="J592"/>
      <c r="K592"/>
      <c r="L592"/>
    </row>
    <row r="593" spans="1:12">
      <c r="A593"/>
      <c r="B593"/>
      <c r="C593"/>
      <c r="D593"/>
      <c r="E593"/>
      <c r="F593"/>
      <c r="G593"/>
      <c r="H593"/>
      <c r="I593"/>
      <c r="J593"/>
      <c r="K593"/>
      <c r="L593"/>
    </row>
    <row r="594" spans="1:12">
      <c r="A594"/>
      <c r="B594"/>
      <c r="C594"/>
      <c r="D594"/>
      <c r="E594"/>
      <c r="F594"/>
      <c r="G594"/>
      <c r="H594"/>
      <c r="I594"/>
      <c r="J594"/>
      <c r="K594"/>
      <c r="L594"/>
    </row>
    <row r="595" spans="1:12">
      <c r="A595"/>
      <c r="B595"/>
      <c r="C595"/>
      <c r="D595"/>
      <c r="E595"/>
      <c r="F595"/>
      <c r="G595"/>
      <c r="H595"/>
      <c r="I595"/>
      <c r="J595"/>
      <c r="K595"/>
      <c r="L595"/>
    </row>
    <row r="596" spans="1:12">
      <c r="A596"/>
      <c r="B596"/>
      <c r="C596"/>
      <c r="D596"/>
      <c r="E596"/>
      <c r="F596"/>
      <c r="G596"/>
      <c r="H596"/>
      <c r="I596"/>
      <c r="J596"/>
      <c r="K596"/>
      <c r="L596"/>
    </row>
    <row r="597" spans="1:12">
      <c r="A597"/>
      <c r="B597"/>
      <c r="C597"/>
      <c r="D597"/>
      <c r="E597"/>
      <c r="F597"/>
      <c r="G597"/>
      <c r="H597"/>
      <c r="I597"/>
      <c r="J597"/>
      <c r="K597"/>
      <c r="L597"/>
    </row>
    <row r="598" spans="1:12">
      <c r="A598"/>
      <c r="B598"/>
      <c r="C598"/>
      <c r="D598"/>
      <c r="E598"/>
      <c r="F598"/>
      <c r="G598"/>
      <c r="H598"/>
      <c r="I598"/>
      <c r="J598"/>
      <c r="K598"/>
      <c r="L598"/>
    </row>
    <row r="599" spans="1:12">
      <c r="A599"/>
      <c r="B599"/>
      <c r="C599"/>
      <c r="D599"/>
      <c r="E599"/>
      <c r="F599"/>
      <c r="G599"/>
      <c r="H599"/>
      <c r="I599"/>
      <c r="J599"/>
      <c r="K599"/>
      <c r="L599"/>
    </row>
    <row r="600" spans="1:12">
      <c r="A600"/>
      <c r="B600"/>
      <c r="C600"/>
      <c r="D600"/>
      <c r="E600"/>
      <c r="F600"/>
      <c r="G600"/>
      <c r="H600"/>
      <c r="I600"/>
      <c r="J600"/>
      <c r="K600"/>
      <c r="L600"/>
    </row>
    <row r="601" spans="1:12">
      <c r="A601"/>
      <c r="B601"/>
      <c r="C601"/>
      <c r="D601"/>
      <c r="E601"/>
      <c r="F601"/>
      <c r="G601"/>
      <c r="H601"/>
      <c r="I601"/>
      <c r="J601"/>
      <c r="K601"/>
      <c r="L601"/>
    </row>
    <row r="602" spans="1:12">
      <c r="A602"/>
      <c r="B602"/>
      <c r="C602"/>
      <c r="D602"/>
      <c r="E602"/>
      <c r="F602"/>
      <c r="G602"/>
      <c r="H602"/>
      <c r="I602"/>
      <c r="J602"/>
      <c r="K602"/>
      <c r="L602"/>
    </row>
    <row r="603" spans="1:12">
      <c r="A603"/>
      <c r="B603"/>
      <c r="C603"/>
      <c r="D603"/>
      <c r="E603"/>
      <c r="F603"/>
      <c r="G603"/>
      <c r="H603"/>
      <c r="I603"/>
      <c r="J603"/>
      <c r="K603"/>
      <c r="L603"/>
    </row>
    <row r="604" spans="1:12">
      <c r="A604"/>
      <c r="B604"/>
      <c r="C604"/>
      <c r="D604"/>
      <c r="E604"/>
      <c r="F604"/>
      <c r="G604"/>
      <c r="H604"/>
      <c r="I604"/>
      <c r="J604"/>
      <c r="K604"/>
      <c r="L604"/>
    </row>
    <row r="605" spans="1:12">
      <c r="A605"/>
      <c r="B605"/>
      <c r="C605"/>
      <c r="D605"/>
      <c r="E605"/>
      <c r="F605"/>
      <c r="G605"/>
      <c r="H605"/>
      <c r="I605"/>
      <c r="J605"/>
      <c r="K605"/>
      <c r="L605"/>
    </row>
    <row r="606" spans="1:12">
      <c r="A606"/>
      <c r="B606"/>
      <c r="C606"/>
      <c r="D606"/>
      <c r="E606"/>
      <c r="F606"/>
      <c r="G606"/>
      <c r="H606"/>
      <c r="I606"/>
      <c r="J606"/>
      <c r="K606"/>
      <c r="L606"/>
    </row>
    <row r="607" spans="1:12">
      <c r="A607"/>
      <c r="B607"/>
      <c r="C607"/>
      <c r="D607"/>
      <c r="E607"/>
      <c r="F607"/>
      <c r="G607"/>
      <c r="H607"/>
      <c r="I607"/>
      <c r="J607"/>
      <c r="K607"/>
      <c r="L607"/>
    </row>
    <row r="608" spans="1:12">
      <c r="A608"/>
      <c r="B608"/>
      <c r="C608"/>
      <c r="D608"/>
      <c r="E608"/>
      <c r="F608"/>
      <c r="G608"/>
      <c r="H608"/>
      <c r="I608"/>
      <c r="J608"/>
      <c r="K608"/>
      <c r="L608"/>
    </row>
    <row r="609" spans="1:12">
      <c r="A609"/>
      <c r="B609"/>
      <c r="C609"/>
      <c r="D609"/>
      <c r="E609"/>
      <c r="F609"/>
      <c r="G609"/>
      <c r="H609"/>
      <c r="I609"/>
      <c r="J609"/>
      <c r="K609"/>
      <c r="L609"/>
    </row>
    <row r="610" spans="1:12">
      <c r="A610"/>
      <c r="B610"/>
      <c r="C610"/>
      <c r="D610"/>
      <c r="E610"/>
      <c r="F610"/>
      <c r="G610"/>
      <c r="H610"/>
      <c r="I610"/>
      <c r="J610"/>
      <c r="K610"/>
      <c r="L610"/>
    </row>
    <row r="611" spans="1:12">
      <c r="A611"/>
      <c r="B611"/>
      <c r="C611"/>
      <c r="D611"/>
      <c r="E611"/>
      <c r="F611"/>
      <c r="G611"/>
      <c r="H611"/>
      <c r="I611"/>
      <c r="J611"/>
      <c r="K611"/>
      <c r="L611"/>
    </row>
    <row r="612" spans="1:12">
      <c r="A612"/>
      <c r="B612"/>
      <c r="C612"/>
      <c r="D612"/>
      <c r="E612"/>
      <c r="F612"/>
      <c r="G612"/>
      <c r="H612"/>
      <c r="I612"/>
      <c r="J612"/>
      <c r="K612"/>
      <c r="L612"/>
    </row>
    <row r="613" spans="1:12">
      <c r="A613"/>
      <c r="B613"/>
      <c r="C613"/>
      <c r="D613"/>
      <c r="E613"/>
      <c r="F613"/>
      <c r="G613"/>
      <c r="H613"/>
      <c r="I613"/>
      <c r="J613"/>
      <c r="K613"/>
      <c r="L613"/>
    </row>
    <row r="614" spans="1:12">
      <c r="A614"/>
      <c r="B614"/>
      <c r="C614"/>
      <c r="D614"/>
      <c r="E614"/>
      <c r="F614"/>
      <c r="G614"/>
      <c r="H614"/>
      <c r="I614"/>
      <c r="J614"/>
      <c r="K614"/>
      <c r="L614"/>
    </row>
    <row r="615" spans="1:12">
      <c r="A615"/>
      <c r="B615"/>
      <c r="C615"/>
      <c r="D615"/>
      <c r="E615"/>
      <c r="F615"/>
      <c r="G615"/>
      <c r="H615"/>
      <c r="I615"/>
      <c r="J615"/>
      <c r="K615"/>
      <c r="L615"/>
    </row>
    <row r="616" spans="1:12">
      <c r="A616"/>
      <c r="B616"/>
      <c r="C616"/>
      <c r="D616"/>
      <c r="E616"/>
      <c r="F616"/>
      <c r="G616"/>
      <c r="H616"/>
      <c r="I616"/>
      <c r="J616"/>
      <c r="K616"/>
      <c r="L616"/>
    </row>
    <row r="617" spans="1:12">
      <c r="A617"/>
      <c r="B617"/>
      <c r="C617"/>
      <c r="D617"/>
      <c r="E617"/>
      <c r="F617"/>
      <c r="G617"/>
      <c r="H617"/>
      <c r="I617"/>
      <c r="J617"/>
      <c r="K617"/>
      <c r="L617"/>
    </row>
    <row r="618" spans="1:12">
      <c r="A618"/>
      <c r="B618"/>
      <c r="C618"/>
      <c r="D618"/>
      <c r="E618"/>
      <c r="F618"/>
      <c r="G618"/>
      <c r="H618"/>
      <c r="I618"/>
      <c r="J618"/>
      <c r="K618"/>
      <c r="L618"/>
    </row>
    <row r="619" spans="1:12">
      <c r="A619"/>
      <c r="B619"/>
      <c r="C619"/>
      <c r="D619"/>
      <c r="E619"/>
      <c r="F619"/>
      <c r="G619"/>
      <c r="H619"/>
      <c r="I619"/>
      <c r="J619"/>
      <c r="K619"/>
      <c r="L619"/>
    </row>
    <row r="620" spans="1:12">
      <c r="A620"/>
      <c r="B620"/>
      <c r="C620"/>
      <c r="D620"/>
      <c r="E620"/>
      <c r="F620"/>
      <c r="G620"/>
      <c r="H620"/>
      <c r="I620"/>
      <c r="J620"/>
      <c r="K620"/>
      <c r="L620"/>
    </row>
    <row r="621" spans="1:12">
      <c r="A621"/>
      <c r="B621"/>
      <c r="C621"/>
      <c r="D621"/>
      <c r="E621"/>
      <c r="F621"/>
      <c r="G621"/>
      <c r="H621"/>
      <c r="I621"/>
      <c r="J621"/>
      <c r="K621"/>
      <c r="L621"/>
    </row>
    <row r="622" spans="1:12">
      <c r="A622"/>
      <c r="B622"/>
      <c r="C622"/>
      <c r="D622"/>
      <c r="E622"/>
      <c r="F622"/>
      <c r="G622"/>
      <c r="H622"/>
      <c r="I622"/>
      <c r="J622"/>
      <c r="K622"/>
      <c r="L622"/>
    </row>
    <row r="623" spans="1:12">
      <c r="A623"/>
      <c r="B623"/>
      <c r="C623"/>
      <c r="D623"/>
      <c r="E623"/>
      <c r="F623"/>
      <c r="G623"/>
      <c r="H623"/>
      <c r="I623"/>
      <c r="J623"/>
      <c r="K623"/>
      <c r="L623"/>
    </row>
    <row r="624" spans="1:12">
      <c r="A624"/>
      <c r="B624"/>
      <c r="C624"/>
      <c r="D624"/>
      <c r="E624"/>
      <c r="F624"/>
      <c r="G624"/>
      <c r="H624"/>
      <c r="I624"/>
      <c r="J624"/>
      <c r="K624"/>
      <c r="L624"/>
    </row>
    <row r="625" spans="1:12">
      <c r="A625"/>
      <c r="B625"/>
      <c r="C625"/>
      <c r="D625"/>
      <c r="E625"/>
      <c r="F625"/>
      <c r="G625"/>
      <c r="H625"/>
      <c r="I625"/>
      <c r="J625"/>
      <c r="K625"/>
      <c r="L625"/>
    </row>
    <row r="626" spans="1:12">
      <c r="A626"/>
      <c r="B626"/>
      <c r="C626"/>
      <c r="D626"/>
      <c r="E626"/>
      <c r="F626"/>
      <c r="G626"/>
      <c r="H626"/>
      <c r="I626"/>
      <c r="J626"/>
      <c r="K626"/>
      <c r="L626"/>
    </row>
    <row r="627" spans="1:12">
      <c r="A627"/>
      <c r="B627"/>
      <c r="C627"/>
      <c r="D627"/>
      <c r="E627"/>
      <c r="F627"/>
      <c r="G627"/>
      <c r="H627"/>
      <c r="I627"/>
      <c r="J627"/>
      <c r="K627"/>
      <c r="L627"/>
    </row>
    <row r="628" spans="1:12">
      <c r="A628"/>
      <c r="B628"/>
      <c r="C628"/>
      <c r="D628"/>
      <c r="E628"/>
      <c r="F628"/>
      <c r="G628"/>
      <c r="H628"/>
      <c r="I628"/>
      <c r="J628"/>
      <c r="K628"/>
      <c r="L628"/>
    </row>
    <row r="629" spans="1:12">
      <c r="A629"/>
      <c r="B629"/>
      <c r="C629"/>
      <c r="D629"/>
      <c r="E629"/>
      <c r="F629"/>
      <c r="G629"/>
      <c r="H629"/>
      <c r="I629"/>
      <c r="J629"/>
      <c r="K629"/>
      <c r="L629"/>
    </row>
    <row r="630" spans="1:12">
      <c r="A630"/>
      <c r="B630"/>
      <c r="C630"/>
      <c r="D630"/>
      <c r="E630"/>
      <c r="F630"/>
      <c r="G630"/>
      <c r="H630"/>
      <c r="I630"/>
      <c r="J630"/>
      <c r="K630"/>
      <c r="L630"/>
    </row>
    <row r="631" spans="1:12">
      <c r="A631"/>
      <c r="B631"/>
      <c r="C631"/>
      <c r="D631"/>
      <c r="E631"/>
      <c r="F631"/>
      <c r="G631"/>
      <c r="H631"/>
      <c r="I631"/>
      <c r="J631"/>
      <c r="K631"/>
      <c r="L631"/>
    </row>
    <row r="632" spans="1:12">
      <c r="A632"/>
      <c r="B632"/>
      <c r="C632"/>
      <c r="D632"/>
      <c r="E632"/>
      <c r="F632"/>
      <c r="G632"/>
      <c r="H632"/>
      <c r="I632"/>
      <c r="J632"/>
      <c r="K632"/>
      <c r="L632"/>
    </row>
    <row r="633" spans="1:12">
      <c r="A633"/>
      <c r="B633"/>
      <c r="C633"/>
      <c r="D633"/>
      <c r="E633"/>
      <c r="F633"/>
      <c r="G633"/>
      <c r="H633"/>
      <c r="I633"/>
      <c r="J633"/>
      <c r="K633"/>
      <c r="L633"/>
    </row>
    <row r="634" spans="1:12">
      <c r="A634"/>
      <c r="B634"/>
      <c r="C634"/>
      <c r="D634"/>
      <c r="E634"/>
      <c r="F634"/>
      <c r="G634"/>
      <c r="H634"/>
      <c r="I634"/>
      <c r="J634"/>
      <c r="K634"/>
      <c r="L634"/>
    </row>
    <row r="635" spans="1:12">
      <c r="A635"/>
      <c r="B635"/>
      <c r="C635"/>
      <c r="D635"/>
      <c r="E635"/>
      <c r="F635"/>
      <c r="G635"/>
      <c r="H635"/>
      <c r="I635"/>
      <c r="J635"/>
      <c r="K635"/>
      <c r="L635"/>
    </row>
    <row r="636" spans="1:12">
      <c r="A636"/>
      <c r="B636"/>
      <c r="C636"/>
      <c r="D636"/>
      <c r="E636"/>
      <c r="F636"/>
      <c r="G636"/>
      <c r="H636"/>
      <c r="I636"/>
      <c r="J636"/>
      <c r="K636"/>
      <c r="L636"/>
    </row>
    <row r="637" spans="1:12">
      <c r="A637"/>
      <c r="B637"/>
      <c r="C637"/>
      <c r="D637"/>
      <c r="E637"/>
      <c r="F637"/>
      <c r="G637"/>
      <c r="H637"/>
      <c r="I637"/>
      <c r="J637"/>
      <c r="K637"/>
      <c r="L637"/>
    </row>
    <row r="638" spans="1:12">
      <c r="A638"/>
      <c r="B638"/>
      <c r="C638"/>
      <c r="D638"/>
      <c r="E638"/>
      <c r="F638"/>
      <c r="G638"/>
      <c r="H638"/>
      <c r="I638"/>
      <c r="J638"/>
      <c r="K638"/>
      <c r="L638"/>
    </row>
    <row r="639" spans="1:12">
      <c r="A639"/>
      <c r="B639"/>
      <c r="C639"/>
      <c r="D639"/>
      <c r="E639"/>
      <c r="F639"/>
      <c r="G639"/>
      <c r="H639"/>
      <c r="I639"/>
      <c r="J639"/>
      <c r="K639"/>
      <c r="L639"/>
    </row>
    <row r="640" spans="1:12">
      <c r="A640"/>
      <c r="B640"/>
      <c r="C640"/>
      <c r="D640"/>
      <c r="E640"/>
      <c r="F640"/>
      <c r="G640"/>
      <c r="H640"/>
      <c r="I640"/>
      <c r="J640"/>
      <c r="K640"/>
      <c r="L640"/>
    </row>
    <row r="641" spans="1:12">
      <c r="A641"/>
      <c r="B641"/>
      <c r="C641"/>
      <c r="D641"/>
      <c r="E641"/>
      <c r="F641"/>
      <c r="G641"/>
      <c r="H641"/>
      <c r="I641"/>
      <c r="J641"/>
      <c r="K641"/>
      <c r="L641"/>
    </row>
    <row r="642" spans="1:12">
      <c r="A642"/>
      <c r="B642"/>
      <c r="C642"/>
      <c r="D642"/>
      <c r="E642"/>
      <c r="F642"/>
      <c r="G642"/>
      <c r="H642"/>
      <c r="I642"/>
      <c r="J642"/>
      <c r="K642"/>
      <c r="L642"/>
    </row>
    <row r="643" spans="1:12">
      <c r="A643"/>
      <c r="B643"/>
      <c r="C643"/>
      <c r="D643"/>
      <c r="E643"/>
      <c r="F643"/>
      <c r="G643"/>
      <c r="H643"/>
      <c r="I643"/>
      <c r="J643"/>
      <c r="K643"/>
      <c r="L643"/>
    </row>
    <row r="644" spans="1:12">
      <c r="A644"/>
      <c r="B644"/>
      <c r="C644"/>
      <c r="D644"/>
      <c r="E644"/>
      <c r="F644"/>
      <c r="G644"/>
      <c r="H644"/>
      <c r="I644"/>
      <c r="J644"/>
      <c r="K644"/>
      <c r="L644"/>
    </row>
    <row r="645" spans="1:12">
      <c r="A645"/>
      <c r="B645"/>
      <c r="C645"/>
      <c r="D645"/>
      <c r="E645"/>
      <c r="F645"/>
      <c r="G645"/>
      <c r="H645"/>
      <c r="I645"/>
      <c r="J645"/>
      <c r="K645"/>
      <c r="L645"/>
    </row>
    <row r="646" spans="1:12">
      <c r="A646"/>
      <c r="B646"/>
      <c r="C646"/>
      <c r="D646"/>
      <c r="E646"/>
      <c r="F646"/>
      <c r="G646"/>
      <c r="H646"/>
      <c r="I646"/>
      <c r="J646"/>
      <c r="K646"/>
      <c r="L646"/>
    </row>
    <row r="647" spans="1:12">
      <c r="A647"/>
      <c r="B647"/>
      <c r="C647"/>
      <c r="D647"/>
      <c r="E647"/>
      <c r="F647"/>
      <c r="G647"/>
      <c r="H647"/>
      <c r="I647"/>
      <c r="J647"/>
      <c r="K647"/>
      <c r="L647"/>
    </row>
    <row r="648" spans="1:12">
      <c r="A648"/>
      <c r="B648"/>
      <c r="C648"/>
      <c r="D648"/>
      <c r="E648"/>
      <c r="F648"/>
      <c r="G648"/>
      <c r="H648"/>
      <c r="I648"/>
      <c r="J648"/>
      <c r="K648"/>
      <c r="L648"/>
    </row>
    <row r="649" spans="1:12">
      <c r="A649"/>
      <c r="B649"/>
      <c r="C649"/>
      <c r="D649"/>
      <c r="E649"/>
      <c r="F649"/>
      <c r="G649"/>
      <c r="H649"/>
      <c r="I649"/>
      <c r="J649"/>
      <c r="K649"/>
      <c r="L649"/>
    </row>
    <row r="650" spans="1:12">
      <c r="A650"/>
      <c r="B650"/>
      <c r="C650"/>
      <c r="D650"/>
      <c r="E650"/>
      <c r="F650"/>
      <c r="G650"/>
      <c r="H650"/>
      <c r="I650"/>
      <c r="J650"/>
      <c r="K650"/>
      <c r="L650"/>
    </row>
    <row r="651" spans="1:12">
      <c r="A651"/>
      <c r="B651"/>
      <c r="C651"/>
      <c r="D651"/>
      <c r="E651"/>
      <c r="F651"/>
      <c r="G651"/>
      <c r="H651"/>
      <c r="I651"/>
      <c r="J651"/>
      <c r="K651"/>
      <c r="L651"/>
    </row>
    <row r="652" spans="1:12">
      <c r="A652"/>
      <c r="B652"/>
      <c r="C652"/>
      <c r="D652"/>
      <c r="E652"/>
      <c r="F652"/>
      <c r="G652"/>
      <c r="H652"/>
      <c r="I652"/>
      <c r="J652"/>
      <c r="K652"/>
      <c r="L652"/>
    </row>
    <row r="653" spans="1:12">
      <c r="A653"/>
      <c r="B653"/>
      <c r="C653"/>
      <c r="D653"/>
      <c r="E653"/>
      <c r="F653"/>
      <c r="G653"/>
      <c r="H653"/>
      <c r="I653"/>
      <c r="J653"/>
      <c r="K653"/>
      <c r="L653"/>
    </row>
    <row r="654" spans="1:12">
      <c r="A654"/>
      <c r="B654"/>
      <c r="C654"/>
      <c r="D654"/>
      <c r="E654"/>
      <c r="F654"/>
      <c r="G654"/>
      <c r="H654"/>
      <c r="I654"/>
      <c r="J654"/>
      <c r="K654"/>
      <c r="L654"/>
    </row>
    <row r="655" spans="1:12">
      <c r="A655"/>
      <c r="B655"/>
      <c r="C655"/>
      <c r="D655"/>
      <c r="E655"/>
      <c r="F655"/>
      <c r="G655"/>
      <c r="H655"/>
      <c r="I655"/>
      <c r="J655"/>
      <c r="K655"/>
      <c r="L655"/>
    </row>
    <row r="656" spans="1:12">
      <c r="A656"/>
      <c r="B656"/>
      <c r="C656"/>
      <c r="D656"/>
      <c r="E656"/>
      <c r="F656"/>
      <c r="G656"/>
      <c r="H656"/>
      <c r="I656"/>
      <c r="J656"/>
      <c r="K656"/>
      <c r="L656"/>
    </row>
    <row r="657" spans="1:12">
      <c r="A657"/>
      <c r="B657"/>
      <c r="C657"/>
      <c r="D657"/>
      <c r="E657"/>
      <c r="F657"/>
      <c r="G657"/>
      <c r="H657"/>
      <c r="I657"/>
      <c r="J657"/>
      <c r="K657"/>
      <c r="L657"/>
    </row>
    <row r="658" spans="1:12">
      <c r="A658"/>
      <c r="B658"/>
      <c r="C658"/>
      <c r="D658"/>
      <c r="E658"/>
      <c r="F658"/>
      <c r="G658"/>
      <c r="H658"/>
      <c r="I658"/>
      <c r="J658"/>
      <c r="K658"/>
      <c r="L658"/>
    </row>
    <row r="659" spans="1:12">
      <c r="A659"/>
      <c r="B659"/>
      <c r="C659"/>
      <c r="D659"/>
      <c r="E659"/>
      <c r="F659"/>
      <c r="G659"/>
      <c r="H659"/>
      <c r="I659"/>
      <c r="J659"/>
      <c r="K659"/>
      <c r="L659"/>
    </row>
    <row r="660" spans="1:12">
      <c r="A660"/>
      <c r="B660"/>
      <c r="C660"/>
      <c r="D660"/>
      <c r="E660"/>
      <c r="F660"/>
      <c r="G660"/>
      <c r="H660"/>
      <c r="I660"/>
      <c r="J660"/>
      <c r="K660"/>
      <c r="L660"/>
    </row>
    <row r="661" spans="1:12">
      <c r="A661"/>
      <c r="B661"/>
      <c r="C661"/>
      <c r="D661"/>
      <c r="E661"/>
      <c r="F661"/>
      <c r="G661"/>
      <c r="H661"/>
      <c r="I661"/>
      <c r="J661"/>
      <c r="K661"/>
      <c r="L661"/>
    </row>
    <row r="662" spans="1:12">
      <c r="A662"/>
      <c r="B662"/>
      <c r="C662"/>
      <c r="D662"/>
      <c r="E662"/>
      <c r="F662"/>
      <c r="G662"/>
      <c r="H662"/>
      <c r="I662"/>
      <c r="J662"/>
      <c r="K662"/>
      <c r="L662"/>
    </row>
    <row r="663" spans="1:12">
      <c r="A663"/>
      <c r="B663"/>
      <c r="C663"/>
      <c r="D663"/>
      <c r="E663"/>
      <c r="F663"/>
      <c r="G663"/>
      <c r="H663"/>
      <c r="I663"/>
      <c r="J663"/>
      <c r="K663"/>
      <c r="L663"/>
    </row>
    <row r="664" spans="1:12">
      <c r="A664"/>
      <c r="B664"/>
      <c r="C664"/>
      <c r="D664"/>
      <c r="E664"/>
      <c r="F664"/>
      <c r="G664"/>
      <c r="H664"/>
      <c r="I664"/>
      <c r="J664"/>
      <c r="K664"/>
      <c r="L664"/>
    </row>
    <row r="665" spans="1:12">
      <c r="A665"/>
      <c r="B665"/>
      <c r="C665"/>
      <c r="D665"/>
      <c r="E665"/>
      <c r="F665"/>
      <c r="G665"/>
      <c r="H665"/>
      <c r="I665"/>
      <c r="J665"/>
      <c r="K665"/>
      <c r="L665"/>
    </row>
    <row r="666" spans="1:12">
      <c r="A666"/>
      <c r="B666"/>
      <c r="C666"/>
      <c r="D666"/>
      <c r="E666"/>
      <c r="F666"/>
      <c r="G666"/>
      <c r="H666"/>
      <c r="I666"/>
      <c r="J666"/>
      <c r="K666"/>
      <c r="L666"/>
    </row>
    <row r="667" spans="1:12">
      <c r="A667"/>
      <c r="B667"/>
      <c r="C667"/>
      <c r="D667"/>
      <c r="E667"/>
      <c r="F667"/>
      <c r="G667"/>
      <c r="H667"/>
      <c r="I667"/>
      <c r="J667"/>
      <c r="K667"/>
      <c r="L667"/>
    </row>
    <row r="668" spans="1:12">
      <c r="A668"/>
      <c r="B668"/>
      <c r="C668"/>
      <c r="D668"/>
      <c r="E668"/>
      <c r="F668"/>
      <c r="G668"/>
      <c r="H668"/>
      <c r="I668"/>
      <c r="J668"/>
      <c r="K668"/>
      <c r="L668"/>
    </row>
    <row r="669" spans="1:12">
      <c r="A669"/>
      <c r="B669"/>
      <c r="C669"/>
      <c r="D669"/>
      <c r="E669"/>
      <c r="F669"/>
      <c r="G669"/>
      <c r="H669"/>
      <c r="I669"/>
      <c r="J669"/>
      <c r="K669"/>
      <c r="L669"/>
    </row>
    <row r="670" spans="1:12">
      <c r="A670"/>
      <c r="B670"/>
      <c r="C670"/>
      <c r="D670"/>
      <c r="E670"/>
      <c r="F670"/>
      <c r="G670"/>
      <c r="H670"/>
      <c r="I670"/>
      <c r="J670"/>
      <c r="K670"/>
      <c r="L670"/>
    </row>
    <row r="671" spans="1:12">
      <c r="A671"/>
      <c r="B671"/>
      <c r="C671"/>
      <c r="D671"/>
      <c r="E671"/>
      <c r="F671"/>
      <c r="G671"/>
      <c r="H671"/>
      <c r="I671"/>
      <c r="J671"/>
      <c r="K671"/>
      <c r="L671"/>
    </row>
    <row r="672" spans="1:12">
      <c r="A672"/>
      <c r="B672"/>
      <c r="C672"/>
      <c r="D672"/>
      <c r="E672"/>
      <c r="F672"/>
      <c r="G672"/>
      <c r="H672"/>
      <c r="I672"/>
      <c r="J672"/>
      <c r="K672"/>
      <c r="L672"/>
    </row>
    <row r="673" spans="1:12">
      <c r="A673"/>
      <c r="B673"/>
      <c r="C673"/>
      <c r="D673"/>
      <c r="E673"/>
      <c r="F673"/>
      <c r="G673"/>
      <c r="H673"/>
      <c r="I673"/>
      <c r="J673"/>
      <c r="K673"/>
      <c r="L673"/>
    </row>
    <row r="674" spans="1:12">
      <c r="A674"/>
      <c r="B674"/>
      <c r="C674"/>
      <c r="D674"/>
      <c r="E674"/>
      <c r="F674"/>
      <c r="G674"/>
      <c r="H674"/>
      <c r="I674"/>
      <c r="J674"/>
      <c r="K674"/>
      <c r="L674"/>
    </row>
    <row r="675" spans="1:12">
      <c r="A675"/>
      <c r="B675"/>
      <c r="C675"/>
      <c r="D675"/>
      <c r="E675"/>
      <c r="F675"/>
      <c r="G675"/>
      <c r="H675"/>
      <c r="I675"/>
      <c r="J675"/>
      <c r="K675"/>
      <c r="L675"/>
    </row>
    <row r="676" spans="1:12">
      <c r="A676"/>
      <c r="B676"/>
      <c r="C676"/>
      <c r="D676"/>
      <c r="E676"/>
      <c r="F676"/>
      <c r="G676"/>
      <c r="H676"/>
      <c r="I676"/>
      <c r="J676"/>
      <c r="K676"/>
      <c r="L676"/>
    </row>
    <row r="677" spans="1:12">
      <c r="A677"/>
      <c r="B677"/>
      <c r="C677"/>
      <c r="D677"/>
      <c r="E677"/>
      <c r="F677"/>
      <c r="G677"/>
      <c r="H677"/>
      <c r="I677"/>
      <c r="J677"/>
      <c r="K677"/>
      <c r="L677"/>
    </row>
    <row r="678" spans="1:12">
      <c r="A678"/>
      <c r="B678"/>
      <c r="C678"/>
      <c r="D678"/>
      <c r="E678"/>
      <c r="F678"/>
      <c r="G678"/>
      <c r="H678"/>
      <c r="I678"/>
      <c r="J678"/>
      <c r="K678"/>
      <c r="L678"/>
    </row>
    <row r="679" spans="1:12">
      <c r="A679"/>
      <c r="B679"/>
      <c r="C679"/>
      <c r="D679"/>
      <c r="E679"/>
      <c r="F679"/>
      <c r="G679"/>
      <c r="H679"/>
      <c r="I679"/>
      <c r="J679"/>
      <c r="K679"/>
      <c r="L679"/>
    </row>
    <row r="680" spans="1:12">
      <c r="A680"/>
      <c r="B680"/>
      <c r="C680"/>
      <c r="D680"/>
      <c r="E680"/>
      <c r="F680"/>
      <c r="G680"/>
      <c r="H680"/>
      <c r="I680"/>
      <c r="J680"/>
      <c r="K680"/>
      <c r="L680"/>
    </row>
    <row r="681" spans="1:12">
      <c r="A681"/>
      <c r="B681"/>
      <c r="C681"/>
      <c r="D681"/>
      <c r="E681"/>
      <c r="F681"/>
      <c r="G681"/>
      <c r="H681"/>
      <c r="I681"/>
      <c r="J681"/>
      <c r="K681"/>
      <c r="L681"/>
    </row>
    <row r="682" spans="1:12">
      <c r="A682"/>
      <c r="B682"/>
      <c r="C682"/>
      <c r="D682"/>
      <c r="E682"/>
      <c r="F682"/>
      <c r="G682"/>
      <c r="H682"/>
      <c r="I682"/>
      <c r="J682"/>
      <c r="K682"/>
      <c r="L682"/>
    </row>
    <row r="683" spans="1:12">
      <c r="A683"/>
      <c r="B683"/>
      <c r="C683"/>
      <c r="D683"/>
      <c r="E683"/>
      <c r="F683"/>
      <c r="G683"/>
      <c r="H683"/>
      <c r="I683"/>
      <c r="J683"/>
      <c r="K683"/>
      <c r="L683"/>
    </row>
    <row r="684" spans="1:12">
      <c r="A684"/>
      <c r="B684"/>
      <c r="C684"/>
      <c r="D684"/>
      <c r="E684"/>
      <c r="F684"/>
      <c r="G684"/>
      <c r="H684"/>
      <c r="I684"/>
      <c r="J684"/>
      <c r="K684"/>
      <c r="L684"/>
    </row>
    <row r="685" spans="1:12">
      <c r="A685"/>
      <c r="B685"/>
      <c r="C685"/>
      <c r="D685"/>
      <c r="E685"/>
      <c r="F685"/>
      <c r="G685"/>
      <c r="H685"/>
      <c r="I685"/>
      <c r="J685"/>
      <c r="K685"/>
      <c r="L685"/>
    </row>
    <row r="686" spans="1:12">
      <c r="A686"/>
      <c r="B686"/>
      <c r="C686"/>
      <c r="D686"/>
      <c r="E686"/>
      <c r="F686"/>
      <c r="G686"/>
      <c r="H686"/>
      <c r="I686"/>
      <c r="J686"/>
      <c r="K686"/>
      <c r="L686"/>
    </row>
    <row r="687" spans="1:12">
      <c r="A687"/>
      <c r="B687"/>
      <c r="C687"/>
      <c r="D687"/>
      <c r="E687"/>
      <c r="F687"/>
      <c r="G687"/>
      <c r="H687"/>
      <c r="I687"/>
      <c r="J687"/>
      <c r="K687"/>
      <c r="L687"/>
    </row>
    <row r="688" spans="1:12">
      <c r="A688"/>
      <c r="B688"/>
      <c r="C688"/>
      <c r="D688"/>
      <c r="E688"/>
      <c r="F688"/>
      <c r="G688"/>
      <c r="H688"/>
      <c r="I688"/>
      <c r="J688"/>
      <c r="K688"/>
      <c r="L688"/>
    </row>
    <row r="689" spans="1:12">
      <c r="A689"/>
      <c r="B689"/>
      <c r="C689"/>
      <c r="D689"/>
      <c r="E689"/>
      <c r="F689"/>
      <c r="G689"/>
      <c r="H689"/>
      <c r="I689"/>
      <c r="J689"/>
      <c r="K689"/>
      <c r="L689"/>
    </row>
    <row r="690" spans="1:12">
      <c r="A690"/>
      <c r="B690"/>
      <c r="C690"/>
      <c r="D690"/>
      <c r="E690"/>
      <c r="F690"/>
      <c r="G690"/>
      <c r="H690"/>
      <c r="I690"/>
      <c r="J690"/>
      <c r="K690"/>
      <c r="L690"/>
    </row>
    <row r="691" spans="1:12">
      <c r="A691"/>
      <c r="B691"/>
      <c r="C691"/>
      <c r="D691"/>
      <c r="E691"/>
      <c r="F691"/>
      <c r="G691"/>
      <c r="H691"/>
      <c r="I691"/>
      <c r="J691"/>
      <c r="K691"/>
      <c r="L691"/>
    </row>
    <row r="692" spans="1:12">
      <c r="A692"/>
      <c r="B692"/>
      <c r="C692"/>
      <c r="D692"/>
      <c r="E692"/>
      <c r="F692"/>
      <c r="G692"/>
      <c r="H692"/>
      <c r="I692"/>
      <c r="J692"/>
      <c r="K692"/>
      <c r="L692"/>
    </row>
    <row r="693" spans="1:12">
      <c r="A693"/>
      <c r="B693"/>
      <c r="C693"/>
      <c r="D693"/>
      <c r="E693"/>
      <c r="F693"/>
      <c r="G693"/>
      <c r="H693"/>
      <c r="I693"/>
      <c r="J693"/>
      <c r="K693"/>
      <c r="L693"/>
    </row>
    <row r="694" spans="1:12">
      <c r="A694"/>
      <c r="B694"/>
      <c r="C694"/>
      <c r="D694"/>
      <c r="E694"/>
      <c r="F694"/>
      <c r="G694"/>
      <c r="H694"/>
      <c r="I694"/>
      <c r="J694"/>
      <c r="K694"/>
      <c r="L694"/>
    </row>
    <row r="695" spans="1:12">
      <c r="A695"/>
      <c r="B695"/>
      <c r="C695"/>
      <c r="D695"/>
      <c r="E695"/>
      <c r="F695"/>
      <c r="G695"/>
      <c r="H695"/>
      <c r="I695"/>
      <c r="J695"/>
      <c r="K695"/>
      <c r="L695"/>
    </row>
    <row r="696" spans="1:12">
      <c r="A696"/>
      <c r="B696"/>
      <c r="C696"/>
      <c r="D696"/>
      <c r="E696"/>
      <c r="F696"/>
      <c r="G696"/>
      <c r="H696"/>
      <c r="I696"/>
      <c r="J696"/>
      <c r="K696"/>
      <c r="L696"/>
    </row>
    <row r="697" spans="1:12">
      <c r="A697"/>
      <c r="B697"/>
      <c r="C697"/>
      <c r="D697"/>
      <c r="E697"/>
      <c r="F697"/>
      <c r="G697"/>
      <c r="H697"/>
      <c r="I697"/>
      <c r="J697"/>
      <c r="K697"/>
      <c r="L697"/>
    </row>
    <row r="698" spans="1:12">
      <c r="A698"/>
      <c r="B698"/>
      <c r="C698"/>
      <c r="D698"/>
      <c r="E698"/>
      <c r="F698"/>
      <c r="G698"/>
      <c r="H698"/>
      <c r="I698"/>
      <c r="J698"/>
      <c r="K698"/>
      <c r="L698"/>
    </row>
    <row r="699" spans="1:12">
      <c r="A699"/>
      <c r="B699"/>
      <c r="C699"/>
      <c r="D699"/>
      <c r="E699"/>
      <c r="F699"/>
      <c r="G699"/>
      <c r="H699"/>
      <c r="I699"/>
      <c r="J699"/>
      <c r="K699"/>
      <c r="L699"/>
    </row>
    <row r="700" spans="1:12">
      <c r="A700"/>
      <c r="B700"/>
      <c r="C700"/>
      <c r="D700"/>
      <c r="E700"/>
      <c r="F700"/>
      <c r="G700"/>
      <c r="H700"/>
      <c r="I700"/>
      <c r="J700"/>
      <c r="K700"/>
      <c r="L700"/>
    </row>
    <row r="701" spans="1:12">
      <c r="A701"/>
      <c r="B701"/>
      <c r="C701"/>
      <c r="D701"/>
      <c r="E701"/>
      <c r="F701"/>
      <c r="G701"/>
      <c r="H701"/>
      <c r="I701"/>
      <c r="J701"/>
      <c r="K701"/>
      <c r="L701"/>
    </row>
    <row r="702" spans="1:12">
      <c r="A702"/>
      <c r="B702"/>
      <c r="C702"/>
      <c r="D702"/>
      <c r="E702"/>
      <c r="F702"/>
      <c r="G702"/>
      <c r="H702"/>
      <c r="I702"/>
      <c r="J702"/>
      <c r="K702"/>
      <c r="L702"/>
    </row>
    <row r="703" spans="1:12">
      <c r="A703"/>
      <c r="B703"/>
      <c r="C703"/>
      <c r="D703"/>
      <c r="E703"/>
      <c r="F703"/>
      <c r="G703"/>
      <c r="H703"/>
      <c r="I703"/>
      <c r="J703"/>
      <c r="K703"/>
      <c r="L703"/>
    </row>
    <row r="704" spans="1:12">
      <c r="A704"/>
      <c r="B704"/>
      <c r="C704"/>
      <c r="D704"/>
      <c r="E704"/>
      <c r="F704"/>
      <c r="G704"/>
      <c r="H704"/>
      <c r="I704"/>
      <c r="J704"/>
      <c r="K704"/>
      <c r="L704"/>
    </row>
    <row r="705" spans="1:12">
      <c r="A705"/>
      <c r="B705"/>
      <c r="C705"/>
      <c r="D705"/>
      <c r="E705"/>
      <c r="F705"/>
      <c r="G705"/>
      <c r="H705"/>
      <c r="I705"/>
      <c r="J705"/>
      <c r="K705"/>
      <c r="L705"/>
    </row>
    <row r="706" spans="1:12">
      <c r="A706"/>
      <c r="B706"/>
      <c r="C706"/>
      <c r="D706"/>
      <c r="E706"/>
      <c r="F706"/>
      <c r="G706"/>
      <c r="H706"/>
      <c r="I706"/>
      <c r="J706"/>
      <c r="K706"/>
      <c r="L706"/>
    </row>
    <row r="707" spans="1:12">
      <c r="A707"/>
      <c r="B707"/>
      <c r="C707"/>
      <c r="D707"/>
      <c r="E707"/>
      <c r="F707"/>
      <c r="G707"/>
      <c r="H707"/>
      <c r="I707"/>
      <c r="J707"/>
      <c r="K707"/>
      <c r="L707"/>
    </row>
    <row r="708" spans="1:12">
      <c r="A708"/>
      <c r="B708"/>
      <c r="C708"/>
      <c r="D708"/>
      <c r="E708"/>
      <c r="F708"/>
      <c r="G708"/>
      <c r="H708"/>
      <c r="I708"/>
      <c r="J708"/>
      <c r="K708"/>
      <c r="L708"/>
    </row>
    <row r="709" spans="1:12">
      <c r="A709"/>
      <c r="B709"/>
      <c r="C709"/>
      <c r="D709"/>
      <c r="E709"/>
      <c r="F709"/>
      <c r="G709"/>
      <c r="H709"/>
      <c r="I709"/>
      <c r="J709"/>
      <c r="K709"/>
      <c r="L709"/>
    </row>
    <row r="710" spans="1:12">
      <c r="A710"/>
      <c r="B710"/>
      <c r="C710"/>
      <c r="D710"/>
      <c r="E710"/>
      <c r="F710"/>
      <c r="G710"/>
      <c r="H710"/>
      <c r="I710"/>
      <c r="J710"/>
      <c r="K710"/>
      <c r="L710"/>
    </row>
    <row r="711" spans="1:12">
      <c r="A711"/>
      <c r="B711"/>
      <c r="C711"/>
      <c r="D711"/>
      <c r="E711"/>
      <c r="F711"/>
      <c r="G711"/>
      <c r="H711"/>
      <c r="I711"/>
      <c r="J711"/>
      <c r="K711"/>
      <c r="L711"/>
    </row>
    <row r="712" spans="1:12">
      <c r="A712"/>
      <c r="B712"/>
      <c r="C712"/>
      <c r="D712"/>
      <c r="E712"/>
      <c r="F712"/>
      <c r="G712"/>
      <c r="H712"/>
      <c r="I712"/>
      <c r="J712"/>
      <c r="K712"/>
      <c r="L712"/>
    </row>
    <row r="713" spans="1:12">
      <c r="A713"/>
      <c r="B713"/>
      <c r="C713"/>
      <c r="D713"/>
      <c r="E713"/>
      <c r="F713"/>
      <c r="G713"/>
      <c r="H713"/>
      <c r="I713"/>
      <c r="J713"/>
      <c r="K713"/>
      <c r="L713"/>
    </row>
    <row r="714" spans="1:12">
      <c r="A714"/>
      <c r="B714"/>
      <c r="C714"/>
      <c r="D714"/>
      <c r="E714"/>
      <c r="F714"/>
      <c r="G714"/>
      <c r="H714"/>
      <c r="I714"/>
      <c r="J714"/>
      <c r="K714"/>
      <c r="L714"/>
    </row>
    <row r="715" spans="1:12">
      <c r="A715"/>
      <c r="B715"/>
      <c r="C715"/>
      <c r="D715"/>
      <c r="E715"/>
      <c r="F715"/>
      <c r="G715"/>
      <c r="H715"/>
      <c r="I715"/>
      <c r="J715"/>
      <c r="K715"/>
      <c r="L715"/>
    </row>
    <row r="716" spans="1:12">
      <c r="A716"/>
      <c r="B716"/>
      <c r="C716"/>
      <c r="D716"/>
      <c r="E716"/>
      <c r="F716"/>
      <c r="G716"/>
      <c r="H716"/>
      <c r="I716"/>
      <c r="J716"/>
      <c r="K716"/>
      <c r="L716"/>
    </row>
    <row r="717" spans="1:12">
      <c r="A717"/>
      <c r="B717"/>
      <c r="C717"/>
      <c r="D717"/>
      <c r="E717"/>
      <c r="F717"/>
      <c r="G717"/>
      <c r="H717"/>
      <c r="I717"/>
      <c r="J717"/>
      <c r="K717"/>
      <c r="L717"/>
    </row>
    <row r="718" spans="1:12">
      <c r="A718"/>
      <c r="B718"/>
      <c r="C718"/>
      <c r="D718"/>
      <c r="E718"/>
      <c r="F718"/>
      <c r="G718"/>
      <c r="H718"/>
      <c r="I718"/>
      <c r="J718"/>
      <c r="K718"/>
      <c r="L718"/>
    </row>
    <row r="719" spans="1:12">
      <c r="A719"/>
      <c r="B719"/>
      <c r="C719"/>
      <c r="D719"/>
      <c r="E719"/>
      <c r="F719"/>
      <c r="G719"/>
      <c r="H719"/>
      <c r="I719"/>
      <c r="J719"/>
      <c r="K719"/>
      <c r="L719"/>
    </row>
    <row r="720" spans="1:12">
      <c r="A720"/>
      <c r="B720"/>
      <c r="C720"/>
      <c r="D720"/>
      <c r="E720"/>
      <c r="F720"/>
      <c r="G720"/>
      <c r="H720"/>
      <c r="I720"/>
      <c r="J720"/>
      <c r="K720"/>
      <c r="L720"/>
    </row>
    <row r="721" spans="1:12">
      <c r="A721"/>
      <c r="B721"/>
      <c r="C721"/>
      <c r="D721"/>
      <c r="E721"/>
      <c r="F721"/>
      <c r="G721"/>
      <c r="H721"/>
      <c r="I721"/>
      <c r="J721"/>
      <c r="K721"/>
      <c r="L721"/>
    </row>
    <row r="722" spans="1:12">
      <c r="A722"/>
      <c r="B722"/>
      <c r="C722"/>
      <c r="D722"/>
      <c r="E722"/>
      <c r="F722"/>
      <c r="G722"/>
      <c r="H722"/>
      <c r="I722"/>
      <c r="J722"/>
      <c r="K722"/>
      <c r="L722"/>
    </row>
    <row r="723" spans="1:12">
      <c r="A723"/>
      <c r="B723"/>
      <c r="C723"/>
      <c r="D723"/>
      <c r="E723"/>
      <c r="F723"/>
      <c r="G723"/>
      <c r="H723"/>
      <c r="I723"/>
      <c r="J723"/>
      <c r="K723"/>
      <c r="L723"/>
    </row>
    <row r="724" spans="1:12">
      <c r="A724"/>
      <c r="B724"/>
      <c r="C724"/>
      <c r="D724"/>
      <c r="E724"/>
      <c r="F724"/>
      <c r="G724"/>
      <c r="H724"/>
      <c r="I724"/>
      <c r="J724"/>
      <c r="K724"/>
      <c r="L724"/>
    </row>
    <row r="725" spans="1:12">
      <c r="A725"/>
      <c r="B725"/>
      <c r="C725"/>
      <c r="D725"/>
      <c r="E725"/>
      <c r="F725"/>
      <c r="G725"/>
      <c r="H725"/>
      <c r="I725"/>
      <c r="J725"/>
      <c r="K725"/>
      <c r="L725"/>
    </row>
    <row r="726" spans="1:12">
      <c r="A726"/>
      <c r="B726"/>
      <c r="C726"/>
      <c r="D726"/>
      <c r="E726"/>
      <c r="F726"/>
      <c r="G726"/>
      <c r="H726"/>
      <c r="I726"/>
      <c r="J726"/>
      <c r="K726"/>
      <c r="L726"/>
    </row>
    <row r="727" spans="1:12">
      <c r="A727"/>
      <c r="B727"/>
      <c r="C727"/>
      <c r="D727"/>
      <c r="E727"/>
      <c r="F727"/>
      <c r="G727"/>
      <c r="H727"/>
      <c r="I727"/>
      <c r="J727"/>
      <c r="K727"/>
      <c r="L727"/>
    </row>
    <row r="728" spans="1:12">
      <c r="A728"/>
      <c r="B728"/>
      <c r="C728"/>
      <c r="D728"/>
      <c r="E728"/>
      <c r="F728"/>
      <c r="G728"/>
      <c r="H728"/>
      <c r="I728"/>
      <c r="J728"/>
      <c r="K728"/>
      <c r="L728"/>
    </row>
    <row r="729" spans="1:12">
      <c r="A729"/>
      <c r="B729"/>
      <c r="C729"/>
      <c r="D729"/>
      <c r="E729"/>
      <c r="F729"/>
      <c r="G729"/>
      <c r="H729"/>
      <c r="I729"/>
      <c r="J729"/>
      <c r="K729"/>
      <c r="L729"/>
    </row>
    <row r="730" spans="1:12">
      <c r="A730"/>
      <c r="B730"/>
      <c r="C730"/>
      <c r="D730"/>
      <c r="E730"/>
      <c r="F730"/>
      <c r="G730"/>
      <c r="H730"/>
      <c r="I730"/>
      <c r="J730"/>
      <c r="K730"/>
      <c r="L730"/>
    </row>
    <row r="731" spans="1:12">
      <c r="A731"/>
      <c r="B731"/>
      <c r="C731"/>
      <c r="D731"/>
      <c r="E731"/>
      <c r="F731"/>
      <c r="G731"/>
      <c r="H731"/>
      <c r="I731"/>
      <c r="J731"/>
      <c r="K731"/>
      <c r="L731"/>
    </row>
    <row r="732" spans="1:12">
      <c r="A732"/>
      <c r="B732"/>
      <c r="C732"/>
      <c r="D732"/>
      <c r="E732"/>
      <c r="F732"/>
      <c r="G732"/>
      <c r="H732"/>
      <c r="I732"/>
      <c r="J732"/>
      <c r="K732"/>
      <c r="L732"/>
    </row>
    <row r="733" spans="1:12">
      <c r="A733"/>
      <c r="B733"/>
      <c r="C733"/>
      <c r="D733"/>
      <c r="E733"/>
      <c r="F733"/>
      <c r="G733"/>
      <c r="H733"/>
      <c r="I733"/>
      <c r="J733"/>
      <c r="K733"/>
      <c r="L733"/>
    </row>
    <row r="734" spans="1:12">
      <c r="A734"/>
      <c r="B734"/>
      <c r="C734"/>
      <c r="D734"/>
      <c r="E734"/>
      <c r="F734"/>
      <c r="G734"/>
      <c r="H734"/>
      <c r="I734"/>
      <c r="J734"/>
      <c r="K734"/>
      <c r="L734"/>
    </row>
    <row r="735" spans="1:12">
      <c r="A735"/>
      <c r="B735"/>
      <c r="C735"/>
      <c r="D735"/>
      <c r="E735"/>
      <c r="F735"/>
      <c r="G735"/>
      <c r="H735"/>
      <c r="I735"/>
      <c r="J735"/>
      <c r="K735"/>
      <c r="L735"/>
    </row>
    <row r="736" spans="1:12">
      <c r="A736"/>
      <c r="B736"/>
      <c r="C736"/>
      <c r="D736"/>
      <c r="E736"/>
      <c r="F736"/>
      <c r="G736"/>
      <c r="H736"/>
      <c r="I736"/>
      <c r="J736"/>
      <c r="K736"/>
      <c r="L736"/>
    </row>
    <row r="737" spans="1:12">
      <c r="A737"/>
      <c r="B737"/>
      <c r="C737"/>
      <c r="D737"/>
      <c r="E737"/>
      <c r="F737"/>
      <c r="G737"/>
      <c r="H737"/>
      <c r="I737"/>
      <c r="J737"/>
      <c r="K737"/>
      <c r="L737"/>
    </row>
    <row r="738" spans="1:12">
      <c r="A738"/>
      <c r="B738"/>
      <c r="C738"/>
      <c r="D738"/>
      <c r="E738"/>
      <c r="F738"/>
      <c r="G738"/>
      <c r="H738"/>
      <c r="I738"/>
      <c r="J738"/>
      <c r="K738"/>
      <c r="L738"/>
    </row>
    <row r="739" spans="1:12">
      <c r="A739"/>
      <c r="B739"/>
      <c r="C739"/>
      <c r="D739"/>
      <c r="E739"/>
      <c r="F739"/>
      <c r="G739"/>
      <c r="H739"/>
      <c r="I739"/>
      <c r="J739"/>
      <c r="K739"/>
      <c r="L739"/>
    </row>
    <row r="740" spans="1:12">
      <c r="A740"/>
      <c r="B740"/>
      <c r="C740"/>
      <c r="D740"/>
      <c r="E740"/>
      <c r="F740"/>
      <c r="G740"/>
      <c r="H740"/>
      <c r="I740"/>
      <c r="J740"/>
      <c r="K740"/>
      <c r="L740"/>
    </row>
    <row r="741" spans="1:12">
      <c r="A741"/>
      <c r="B741"/>
      <c r="C741"/>
      <c r="D741"/>
      <c r="E741"/>
      <c r="F741"/>
      <c r="G741"/>
      <c r="H741"/>
      <c r="I741"/>
      <c r="J741"/>
      <c r="K741"/>
      <c r="L741"/>
    </row>
    <row r="742" spans="1:12">
      <c r="A742"/>
      <c r="B742"/>
      <c r="C742"/>
      <c r="D742"/>
      <c r="E742"/>
      <c r="F742"/>
      <c r="G742"/>
      <c r="H742"/>
      <c r="I742"/>
      <c r="J742"/>
      <c r="K742"/>
      <c r="L742"/>
    </row>
    <row r="743" spans="1:12">
      <c r="A743"/>
      <c r="B743"/>
      <c r="C743"/>
      <c r="D743"/>
      <c r="E743"/>
      <c r="F743"/>
      <c r="G743"/>
      <c r="H743"/>
      <c r="I743"/>
      <c r="J743"/>
      <c r="K743"/>
      <c r="L743"/>
    </row>
    <row r="744" spans="1:12">
      <c r="A744"/>
      <c r="B744"/>
      <c r="C744"/>
      <c r="D744"/>
      <c r="E744"/>
      <c r="F744"/>
      <c r="G744"/>
      <c r="H744"/>
      <c r="I744"/>
      <c r="J744"/>
      <c r="K744"/>
      <c r="L744"/>
    </row>
    <row r="745" spans="1:12">
      <c r="A745"/>
      <c r="B745"/>
      <c r="C745"/>
      <c r="D745"/>
      <c r="E745"/>
      <c r="F745"/>
      <c r="G745"/>
      <c r="H745"/>
      <c r="I745"/>
      <c r="J745"/>
      <c r="K745"/>
      <c r="L745"/>
    </row>
    <row r="746" spans="1:12">
      <c r="A746"/>
      <c r="B746"/>
      <c r="C746"/>
      <c r="D746"/>
      <c r="E746"/>
      <c r="F746"/>
      <c r="G746"/>
      <c r="H746"/>
      <c r="I746"/>
      <c r="J746"/>
      <c r="K746"/>
      <c r="L746"/>
    </row>
    <row r="747" spans="1:12">
      <c r="A747"/>
      <c r="B747"/>
      <c r="C747"/>
      <c r="D747"/>
      <c r="E747"/>
      <c r="F747"/>
      <c r="G747"/>
      <c r="H747"/>
      <c r="I747"/>
      <c r="J747"/>
      <c r="K747"/>
      <c r="L747"/>
    </row>
    <row r="748" spans="1:12">
      <c r="A748"/>
      <c r="B748"/>
      <c r="C748"/>
      <c r="D748"/>
      <c r="E748"/>
      <c r="F748"/>
      <c r="G748"/>
      <c r="H748"/>
      <c r="I748"/>
      <c r="J748"/>
      <c r="K748"/>
      <c r="L748"/>
    </row>
    <row r="749" spans="1:12">
      <c r="A749"/>
      <c r="B749"/>
      <c r="C749"/>
      <c r="D749"/>
      <c r="E749"/>
      <c r="F749"/>
      <c r="G749"/>
      <c r="H749"/>
      <c r="I749"/>
      <c r="J749"/>
      <c r="K749"/>
      <c r="L749"/>
    </row>
    <row r="750" spans="1:12">
      <c r="A750"/>
      <c r="B750"/>
      <c r="C750"/>
      <c r="D750"/>
      <c r="E750"/>
      <c r="F750"/>
      <c r="G750"/>
      <c r="H750"/>
      <c r="I750"/>
      <c r="J750"/>
      <c r="K750"/>
      <c r="L750"/>
    </row>
    <row r="751" spans="1:12">
      <c r="A751"/>
      <c r="B751"/>
      <c r="C751"/>
      <c r="D751"/>
      <c r="E751"/>
      <c r="F751"/>
      <c r="G751"/>
      <c r="H751"/>
      <c r="I751"/>
      <c r="J751"/>
      <c r="K751"/>
      <c r="L751"/>
    </row>
    <row r="752" spans="1:12">
      <c r="A752"/>
      <c r="B752"/>
      <c r="C752"/>
      <c r="D752"/>
      <c r="E752"/>
      <c r="F752"/>
      <c r="G752"/>
      <c r="H752"/>
      <c r="I752"/>
      <c r="J752"/>
      <c r="K752"/>
      <c r="L752"/>
    </row>
    <row r="753" spans="1:12">
      <c r="A753"/>
      <c r="B753"/>
      <c r="C753"/>
      <c r="D753"/>
      <c r="E753"/>
      <c r="F753"/>
      <c r="G753"/>
      <c r="H753"/>
      <c r="I753"/>
      <c r="J753"/>
      <c r="K753"/>
      <c r="L753"/>
    </row>
    <row r="754" spans="1:12">
      <c r="A754"/>
      <c r="B754"/>
      <c r="C754"/>
      <c r="D754"/>
      <c r="E754"/>
      <c r="F754"/>
      <c r="G754"/>
      <c r="H754"/>
      <c r="I754"/>
      <c r="J754"/>
      <c r="K754"/>
      <c r="L754"/>
    </row>
    <row r="755" spans="1:12">
      <c r="A755"/>
      <c r="B755"/>
      <c r="C755"/>
      <c r="D755"/>
      <c r="E755"/>
      <c r="F755"/>
      <c r="G755"/>
      <c r="H755"/>
      <c r="I755"/>
      <c r="J755"/>
      <c r="K755"/>
      <c r="L755"/>
    </row>
    <row r="756" spans="1:12">
      <c r="A756"/>
      <c r="B756"/>
      <c r="C756"/>
      <c r="D756"/>
      <c r="E756"/>
      <c r="F756"/>
      <c r="G756"/>
      <c r="H756"/>
      <c r="I756"/>
      <c r="J756"/>
      <c r="K756"/>
      <c r="L756"/>
    </row>
    <row r="757" spans="1:12">
      <c r="A757"/>
      <c r="B757"/>
      <c r="C757"/>
      <c r="D757"/>
      <c r="E757"/>
      <c r="F757"/>
      <c r="G757"/>
      <c r="H757"/>
      <c r="I757"/>
      <c r="J757"/>
      <c r="K757"/>
      <c r="L757"/>
    </row>
    <row r="758" spans="1:12">
      <c r="A758"/>
      <c r="B758"/>
      <c r="C758"/>
      <c r="D758"/>
      <c r="E758"/>
      <c r="F758"/>
      <c r="G758"/>
      <c r="H758"/>
      <c r="I758"/>
      <c r="J758"/>
      <c r="K758"/>
      <c r="L758"/>
    </row>
    <row r="759" spans="1:12">
      <c r="A759"/>
      <c r="B759"/>
      <c r="C759"/>
      <c r="D759"/>
      <c r="E759"/>
      <c r="F759"/>
      <c r="G759"/>
      <c r="H759"/>
      <c r="I759"/>
      <c r="J759"/>
      <c r="K759"/>
      <c r="L759"/>
    </row>
    <row r="760" spans="1:12">
      <c r="A760"/>
      <c r="B760"/>
      <c r="C760"/>
      <c r="D760"/>
      <c r="E760"/>
      <c r="F760"/>
      <c r="G760"/>
      <c r="H760"/>
      <c r="I760"/>
      <c r="J760"/>
      <c r="K760"/>
      <c r="L760"/>
    </row>
    <row r="761" spans="1:12">
      <c r="A761"/>
      <c r="B761"/>
      <c r="C761"/>
      <c r="D761"/>
      <c r="E761"/>
      <c r="F761"/>
      <c r="G761"/>
      <c r="H761"/>
      <c r="I761"/>
      <c r="J761"/>
      <c r="K761"/>
      <c r="L761"/>
    </row>
    <row r="762" spans="1:12">
      <c r="A762"/>
      <c r="B762"/>
      <c r="C762"/>
      <c r="D762"/>
      <c r="E762"/>
      <c r="F762"/>
      <c r="G762"/>
      <c r="H762"/>
      <c r="I762"/>
      <c r="J762"/>
      <c r="K762"/>
      <c r="L762"/>
    </row>
    <row r="763" spans="1:12">
      <c r="A763"/>
      <c r="B763"/>
      <c r="C763"/>
      <c r="D763"/>
      <c r="E763"/>
      <c r="F763"/>
      <c r="G763"/>
      <c r="H763"/>
      <c r="I763"/>
      <c r="J763"/>
      <c r="K763"/>
      <c r="L763"/>
    </row>
    <row r="764" spans="1:12">
      <c r="A764"/>
      <c r="B764"/>
      <c r="C764"/>
      <c r="D764"/>
      <c r="E764"/>
      <c r="F764"/>
      <c r="G764"/>
      <c r="H764"/>
      <c r="I764"/>
      <c r="J764"/>
      <c r="K764"/>
      <c r="L764"/>
    </row>
    <row r="765" spans="1:12">
      <c r="A765"/>
      <c r="B765"/>
      <c r="C765"/>
      <c r="D765"/>
      <c r="E765"/>
      <c r="F765"/>
      <c r="G765"/>
      <c r="H765"/>
      <c r="I765"/>
      <c r="J765"/>
      <c r="K765"/>
      <c r="L765"/>
    </row>
    <row r="766" spans="1:12">
      <c r="A766"/>
      <c r="B766"/>
      <c r="C766"/>
      <c r="D766"/>
      <c r="E766"/>
      <c r="F766"/>
      <c r="G766"/>
      <c r="H766"/>
      <c r="I766"/>
      <c r="J766"/>
      <c r="K766"/>
      <c r="L766"/>
    </row>
    <row r="767" spans="1:12">
      <c r="A767"/>
      <c r="B767"/>
      <c r="C767"/>
      <c r="D767"/>
      <c r="E767"/>
      <c r="F767"/>
      <c r="G767"/>
      <c r="H767"/>
      <c r="I767"/>
      <c r="J767"/>
      <c r="K767"/>
      <c r="L767"/>
    </row>
    <row r="768" spans="1:12">
      <c r="A768"/>
      <c r="B768"/>
      <c r="C768"/>
      <c r="D768"/>
      <c r="E768"/>
      <c r="F768"/>
      <c r="G768"/>
      <c r="H768"/>
      <c r="I768"/>
      <c r="J768"/>
      <c r="K768"/>
      <c r="L768"/>
    </row>
    <row r="769" spans="1:12">
      <c r="A769"/>
      <c r="B769"/>
      <c r="C769"/>
      <c r="D769"/>
      <c r="E769"/>
      <c r="F769"/>
      <c r="G769"/>
      <c r="H769"/>
      <c r="I769"/>
      <c r="J769"/>
      <c r="K769"/>
      <c r="L769"/>
    </row>
    <row r="770" spans="1:12">
      <c r="A770"/>
      <c r="B770"/>
      <c r="C770"/>
      <c r="D770"/>
      <c r="E770"/>
      <c r="F770"/>
      <c r="G770"/>
      <c r="H770"/>
      <c r="I770"/>
      <c r="J770"/>
      <c r="K770"/>
      <c r="L770"/>
    </row>
    <row r="771" spans="1:12">
      <c r="A771"/>
      <c r="B771"/>
      <c r="C771"/>
      <c r="D771"/>
      <c r="E771"/>
      <c r="F771"/>
      <c r="G771"/>
      <c r="H771"/>
      <c r="I771"/>
      <c r="J771"/>
      <c r="K771"/>
      <c r="L771"/>
    </row>
    <row r="772" spans="1:12">
      <c r="A772"/>
      <c r="B772"/>
      <c r="C772"/>
      <c r="D772"/>
      <c r="E772"/>
      <c r="F772"/>
      <c r="G772"/>
      <c r="H772"/>
      <c r="I772"/>
      <c r="J772"/>
      <c r="K772"/>
      <c r="L772"/>
    </row>
    <row r="773" spans="1:12">
      <c r="A773"/>
      <c r="B773"/>
      <c r="C773"/>
      <c r="D773"/>
      <c r="E773"/>
      <c r="F773"/>
      <c r="G773"/>
      <c r="H773"/>
      <c r="I773"/>
      <c r="J773"/>
      <c r="K773"/>
      <c r="L773"/>
    </row>
    <row r="774" spans="1:12">
      <c r="A774"/>
      <c r="B774"/>
      <c r="C774"/>
      <c r="D774"/>
      <c r="E774"/>
      <c r="F774"/>
      <c r="G774"/>
      <c r="H774"/>
      <c r="I774"/>
      <c r="J774"/>
      <c r="K774"/>
      <c r="L774"/>
    </row>
    <row r="775" spans="1:12">
      <c r="A775"/>
      <c r="B775"/>
      <c r="C775"/>
      <c r="D775"/>
      <c r="E775"/>
      <c r="F775"/>
      <c r="G775"/>
      <c r="H775"/>
      <c r="I775"/>
      <c r="J775"/>
      <c r="K775"/>
      <c r="L775"/>
    </row>
    <row r="776" spans="1:12">
      <c r="A776"/>
      <c r="B776"/>
      <c r="C776"/>
      <c r="D776"/>
      <c r="E776"/>
      <c r="F776"/>
      <c r="G776"/>
      <c r="H776"/>
      <c r="I776"/>
      <c r="J776"/>
      <c r="K776"/>
      <c r="L776"/>
    </row>
    <row r="777" spans="1:12">
      <c r="A777"/>
      <c r="B777"/>
      <c r="C777"/>
      <c r="D777"/>
      <c r="E777"/>
      <c r="F777"/>
      <c r="G777"/>
      <c r="H777"/>
      <c r="I777"/>
      <c r="J777"/>
      <c r="K777"/>
      <c r="L777"/>
    </row>
    <row r="778" spans="1:12">
      <c r="A778"/>
      <c r="B778"/>
      <c r="C778"/>
      <c r="D778"/>
      <c r="E778"/>
      <c r="F778"/>
      <c r="G778"/>
      <c r="H778"/>
      <c r="I778"/>
      <c r="J778"/>
      <c r="K778"/>
      <c r="L778"/>
    </row>
    <row r="779" spans="1:12">
      <c r="A779"/>
      <c r="B779"/>
      <c r="C779"/>
      <c r="D779"/>
      <c r="E779"/>
      <c r="F779"/>
      <c r="G779"/>
      <c r="H779"/>
      <c r="I779"/>
      <c r="J779"/>
      <c r="K779"/>
      <c r="L779"/>
    </row>
    <row r="780" spans="1:12">
      <c r="A780"/>
      <c r="B780"/>
      <c r="C780"/>
      <c r="D780"/>
      <c r="E780"/>
      <c r="F780"/>
      <c r="G780"/>
      <c r="H780"/>
      <c r="I780"/>
      <c r="J780"/>
      <c r="K780"/>
      <c r="L780"/>
    </row>
    <row r="781" spans="1:12">
      <c r="A781"/>
      <c r="B781"/>
      <c r="C781"/>
      <c r="D781"/>
      <c r="E781"/>
      <c r="F781"/>
      <c r="G781"/>
      <c r="H781"/>
      <c r="I781"/>
      <c r="J781"/>
      <c r="K781"/>
      <c r="L781"/>
    </row>
    <row r="782" spans="1:12">
      <c r="A782"/>
      <c r="B782"/>
      <c r="C782"/>
      <c r="D782"/>
      <c r="E782"/>
      <c r="F782"/>
      <c r="G782"/>
      <c r="H782"/>
      <c r="I782"/>
      <c r="J782"/>
      <c r="K782"/>
      <c r="L782"/>
    </row>
    <row r="783" spans="1:12">
      <c r="A783"/>
      <c r="B783"/>
      <c r="C783"/>
      <c r="D783"/>
      <c r="E783"/>
      <c r="F783"/>
      <c r="G783"/>
      <c r="H783"/>
      <c r="I783"/>
      <c r="J783"/>
      <c r="K783"/>
      <c r="L783"/>
    </row>
    <row r="784" spans="1:12">
      <c r="A784"/>
      <c r="B784"/>
      <c r="C784"/>
      <c r="D784"/>
      <c r="E784"/>
      <c r="F784"/>
      <c r="G784"/>
      <c r="H784"/>
      <c r="I784"/>
      <c r="J784"/>
      <c r="K784"/>
      <c r="L784"/>
    </row>
    <row r="785" spans="1:12">
      <c r="A785"/>
      <c r="B785"/>
      <c r="C785"/>
      <c r="D785"/>
      <c r="E785"/>
      <c r="F785"/>
      <c r="G785"/>
      <c r="H785"/>
      <c r="I785"/>
      <c r="J785"/>
      <c r="K785"/>
      <c r="L785"/>
    </row>
    <row r="786" spans="1:12">
      <c r="A786"/>
      <c r="B786"/>
      <c r="C786"/>
      <c r="D786"/>
      <c r="E786"/>
      <c r="F786"/>
      <c r="G786"/>
      <c r="H786"/>
      <c r="I786"/>
      <c r="J786"/>
      <c r="K786"/>
      <c r="L786"/>
    </row>
    <row r="787" spans="1:12">
      <c r="A787"/>
      <c r="B787"/>
      <c r="C787"/>
      <c r="D787"/>
      <c r="E787"/>
      <c r="F787"/>
      <c r="G787"/>
      <c r="H787"/>
      <c r="I787"/>
      <c r="J787"/>
      <c r="K787"/>
      <c r="L787"/>
    </row>
    <row r="788" spans="1:12">
      <c r="A788"/>
      <c r="B788"/>
      <c r="C788"/>
      <c r="D788"/>
      <c r="E788"/>
      <c r="F788"/>
      <c r="G788"/>
      <c r="H788"/>
      <c r="I788"/>
      <c r="J788"/>
      <c r="K788"/>
      <c r="L788"/>
    </row>
    <row r="789" spans="1:12">
      <c r="A789"/>
      <c r="B789"/>
      <c r="C789"/>
      <c r="D789"/>
      <c r="E789"/>
      <c r="F789"/>
      <c r="G789"/>
      <c r="H789"/>
      <c r="I789"/>
      <c r="J789"/>
      <c r="K789"/>
      <c r="L789"/>
    </row>
    <row r="790" spans="1:12">
      <c r="A790"/>
      <c r="B790"/>
      <c r="C790"/>
      <c r="D790"/>
      <c r="E790"/>
      <c r="F790"/>
      <c r="G790"/>
      <c r="H790"/>
      <c r="I790"/>
      <c r="J790"/>
      <c r="K790"/>
      <c r="L790"/>
    </row>
    <row r="791" spans="1:12">
      <c r="A791"/>
      <c r="B791"/>
      <c r="C791"/>
      <c r="D791"/>
      <c r="E791"/>
      <c r="F791"/>
      <c r="G791"/>
      <c r="H791"/>
      <c r="I791"/>
      <c r="J791"/>
      <c r="K791"/>
      <c r="L791"/>
    </row>
    <row r="792" spans="1:12">
      <c r="A792"/>
      <c r="B792"/>
      <c r="C792"/>
      <c r="D792"/>
      <c r="E792"/>
      <c r="F792"/>
      <c r="G792"/>
      <c r="H792"/>
      <c r="I792"/>
      <c r="J792"/>
      <c r="K792"/>
      <c r="L792"/>
    </row>
    <row r="793" spans="1:12">
      <c r="A793"/>
      <c r="B793"/>
      <c r="C793"/>
      <c r="D793"/>
      <c r="E793"/>
      <c r="F793"/>
      <c r="G793"/>
      <c r="H793"/>
      <c r="I793"/>
      <c r="J793"/>
      <c r="K793"/>
      <c r="L793"/>
    </row>
    <row r="794" spans="1:12">
      <c r="A794"/>
      <c r="B794"/>
      <c r="C794"/>
      <c r="D794"/>
      <c r="E794"/>
      <c r="F794"/>
      <c r="G794"/>
      <c r="H794"/>
      <c r="I794"/>
      <c r="J794"/>
      <c r="K794"/>
      <c r="L794"/>
    </row>
    <row r="795" spans="1:12">
      <c r="A795"/>
      <c r="B795"/>
      <c r="C795"/>
      <c r="D795"/>
      <c r="E795"/>
      <c r="F795"/>
      <c r="G795"/>
      <c r="H795"/>
      <c r="I795"/>
      <c r="J795"/>
      <c r="K795"/>
      <c r="L795"/>
    </row>
    <row r="796" spans="1:12">
      <c r="A796"/>
      <c r="B796"/>
      <c r="C796"/>
      <c r="D796"/>
      <c r="E796"/>
      <c r="F796"/>
      <c r="G796"/>
      <c r="H796"/>
      <c r="I796"/>
      <c r="J796"/>
      <c r="K796"/>
      <c r="L796"/>
    </row>
    <row r="797" spans="1:12">
      <c r="A797"/>
      <c r="B797"/>
      <c r="C797"/>
      <c r="D797"/>
      <c r="E797"/>
      <c r="F797"/>
      <c r="G797"/>
      <c r="H797"/>
      <c r="I797"/>
      <c r="J797"/>
      <c r="K797"/>
      <c r="L797"/>
    </row>
    <row r="798" spans="1:12">
      <c r="A798"/>
      <c r="B798"/>
      <c r="C798"/>
      <c r="D798"/>
      <c r="E798"/>
      <c r="F798"/>
      <c r="G798"/>
      <c r="H798"/>
      <c r="I798"/>
      <c r="J798"/>
      <c r="K798"/>
      <c r="L798"/>
    </row>
    <row r="799" spans="1:12">
      <c r="A799"/>
      <c r="B799"/>
      <c r="C799"/>
      <c r="D799"/>
      <c r="E799"/>
      <c r="F799"/>
      <c r="G799"/>
      <c r="H799"/>
      <c r="I799"/>
      <c r="J799"/>
      <c r="K799"/>
      <c r="L799"/>
    </row>
    <row r="800" spans="1:12">
      <c r="A800"/>
      <c r="B800"/>
      <c r="C800"/>
      <c r="D800"/>
      <c r="E800"/>
      <c r="F800"/>
      <c r="G800"/>
      <c r="H800"/>
      <c r="I800"/>
      <c r="J800"/>
      <c r="K800"/>
      <c r="L800"/>
    </row>
    <row r="801" spans="1:12">
      <c r="A801"/>
      <c r="B801"/>
      <c r="C801"/>
      <c r="D801"/>
      <c r="E801"/>
      <c r="F801"/>
      <c r="G801"/>
      <c r="H801"/>
      <c r="I801"/>
      <c r="J801"/>
      <c r="K801"/>
      <c r="L801"/>
    </row>
    <row r="802" spans="1:12">
      <c r="A802"/>
      <c r="B802"/>
      <c r="C802"/>
      <c r="D802"/>
      <c r="E802"/>
      <c r="F802"/>
      <c r="G802"/>
      <c r="H802"/>
      <c r="I802"/>
      <c r="J802"/>
      <c r="K802"/>
      <c r="L802"/>
    </row>
    <row r="803" spans="1:12">
      <c r="A803"/>
      <c r="B803"/>
      <c r="C803"/>
      <c r="D803"/>
      <c r="E803"/>
      <c r="F803"/>
      <c r="G803"/>
      <c r="H803"/>
      <c r="I803"/>
      <c r="J803"/>
      <c r="K803"/>
      <c r="L803"/>
    </row>
    <row r="804" spans="1:12">
      <c r="A804"/>
      <c r="B804"/>
      <c r="C804"/>
      <c r="D804"/>
      <c r="E804"/>
      <c r="F804"/>
      <c r="G804"/>
      <c r="H804"/>
      <c r="I804"/>
      <c r="J804"/>
      <c r="K804"/>
      <c r="L804"/>
    </row>
    <row r="805" spans="1:12">
      <c r="A805"/>
      <c r="B805"/>
      <c r="C805"/>
      <c r="D805"/>
      <c r="E805"/>
      <c r="F805"/>
      <c r="G805"/>
      <c r="H805"/>
      <c r="I805"/>
      <c r="J805"/>
      <c r="K805"/>
      <c r="L805"/>
    </row>
    <row r="806" spans="1:12">
      <c r="A806"/>
      <c r="B806"/>
      <c r="C806"/>
      <c r="D806"/>
      <c r="E806"/>
      <c r="F806"/>
      <c r="G806"/>
      <c r="H806"/>
      <c r="I806"/>
      <c r="J806"/>
      <c r="K806"/>
      <c r="L806"/>
    </row>
    <row r="807" spans="1:12">
      <c r="A807"/>
      <c r="B807"/>
      <c r="C807"/>
      <c r="D807"/>
      <c r="E807"/>
      <c r="F807"/>
      <c r="G807"/>
      <c r="H807"/>
      <c r="I807"/>
      <c r="J807"/>
      <c r="K807"/>
      <c r="L807"/>
    </row>
    <row r="808" spans="1:12">
      <c r="A808"/>
      <c r="B808"/>
      <c r="C808"/>
      <c r="D808"/>
      <c r="E808"/>
      <c r="F808"/>
      <c r="G808"/>
      <c r="H808"/>
      <c r="I808"/>
      <c r="J808"/>
      <c r="K808"/>
      <c r="L808"/>
    </row>
    <row r="809" spans="1:12">
      <c r="A809"/>
      <c r="B809"/>
      <c r="C809"/>
      <c r="D809"/>
      <c r="E809"/>
      <c r="F809"/>
      <c r="G809"/>
      <c r="H809"/>
      <c r="I809"/>
      <c r="J809"/>
      <c r="K809"/>
      <c r="L809"/>
    </row>
    <row r="810" spans="1:12">
      <c r="A810"/>
      <c r="B810"/>
      <c r="C810"/>
      <c r="D810"/>
      <c r="E810"/>
      <c r="F810"/>
      <c r="G810"/>
      <c r="H810"/>
      <c r="I810"/>
      <c r="J810"/>
      <c r="K810"/>
      <c r="L810"/>
    </row>
    <row r="811" spans="1:12">
      <c r="A811"/>
      <c r="B811"/>
      <c r="C811"/>
      <c r="D811"/>
      <c r="E811"/>
      <c r="F811"/>
      <c r="G811"/>
      <c r="H811"/>
      <c r="I811"/>
      <c r="J811"/>
      <c r="K811"/>
      <c r="L811"/>
    </row>
    <row r="812" spans="1:12">
      <c r="A812"/>
      <c r="B812"/>
      <c r="C812"/>
      <c r="D812"/>
      <c r="E812"/>
      <c r="F812"/>
      <c r="G812"/>
      <c r="H812"/>
      <c r="I812"/>
      <c r="J812"/>
      <c r="K812"/>
      <c r="L812"/>
    </row>
    <row r="813" spans="1:12">
      <c r="A813"/>
      <c r="B813"/>
      <c r="C813"/>
      <c r="D813"/>
      <c r="E813"/>
      <c r="F813"/>
      <c r="G813"/>
      <c r="H813"/>
      <c r="I813"/>
      <c r="J813"/>
      <c r="K813"/>
      <c r="L813"/>
    </row>
    <row r="814" spans="1:12">
      <c r="A814"/>
      <c r="B814"/>
      <c r="C814"/>
      <c r="D814"/>
      <c r="E814"/>
      <c r="F814"/>
      <c r="G814"/>
      <c r="H814"/>
      <c r="I814"/>
      <c r="J814"/>
      <c r="K814"/>
      <c r="L814"/>
    </row>
    <row r="815" spans="1:12">
      <c r="A815"/>
      <c r="B815"/>
      <c r="C815"/>
      <c r="D815"/>
      <c r="E815"/>
      <c r="F815"/>
      <c r="G815"/>
      <c r="H815"/>
      <c r="I815"/>
      <c r="J815"/>
      <c r="K815"/>
      <c r="L815"/>
    </row>
    <row r="816" spans="1:12">
      <c r="A816"/>
      <c r="B816"/>
      <c r="C816"/>
      <c r="D816"/>
      <c r="E816"/>
      <c r="F816"/>
      <c r="G816"/>
      <c r="H816"/>
      <c r="I816"/>
      <c r="J816"/>
      <c r="K816"/>
      <c r="L816"/>
    </row>
    <row r="817" spans="1:12">
      <c r="A817"/>
      <c r="B817"/>
      <c r="C817"/>
      <c r="D817"/>
      <c r="E817"/>
      <c r="F817"/>
      <c r="G817"/>
      <c r="H817"/>
      <c r="I817"/>
      <c r="J817"/>
      <c r="K817"/>
      <c r="L817"/>
    </row>
    <row r="818" spans="1:12">
      <c r="A818"/>
      <c r="B818"/>
      <c r="C818"/>
      <c r="D818"/>
      <c r="E818"/>
      <c r="F818"/>
      <c r="G818"/>
      <c r="H818"/>
      <c r="I818"/>
      <c r="J818"/>
      <c r="K818"/>
      <c r="L818"/>
    </row>
    <row r="819" spans="1:12">
      <c r="A819"/>
      <c r="B819"/>
      <c r="C819"/>
      <c r="D819"/>
      <c r="E819"/>
      <c r="F819"/>
      <c r="G819"/>
      <c r="H819"/>
      <c r="I819"/>
      <c r="J819"/>
      <c r="K819"/>
      <c r="L819"/>
    </row>
    <row r="820" spans="1:12">
      <c r="A820"/>
      <c r="B820"/>
      <c r="C820"/>
      <c r="D820"/>
      <c r="E820"/>
      <c r="F820"/>
      <c r="G820"/>
      <c r="H820"/>
      <c r="I820"/>
      <c r="J820"/>
      <c r="K820"/>
      <c r="L820"/>
    </row>
    <row r="821" spans="1:12">
      <c r="A821"/>
      <c r="B821"/>
      <c r="C821"/>
      <c r="D821"/>
      <c r="E821"/>
      <c r="F821"/>
      <c r="G821"/>
      <c r="H821"/>
      <c r="I821"/>
      <c r="J821"/>
      <c r="K821"/>
      <c r="L821"/>
    </row>
    <row r="822" spans="1:12">
      <c r="A822"/>
      <c r="B822"/>
      <c r="C822"/>
      <c r="D822"/>
      <c r="E822"/>
      <c r="F822"/>
      <c r="G822"/>
      <c r="H822"/>
      <c r="I822"/>
      <c r="J822"/>
      <c r="K822"/>
      <c r="L822"/>
    </row>
    <row r="823" spans="1:12">
      <c r="A823"/>
      <c r="B823"/>
      <c r="C823"/>
      <c r="D823"/>
      <c r="E823"/>
      <c r="F823"/>
      <c r="G823"/>
      <c r="H823"/>
      <c r="I823"/>
      <c r="J823"/>
      <c r="K823"/>
      <c r="L823"/>
    </row>
    <row r="824" spans="1:12">
      <c r="A824"/>
      <c r="B824"/>
      <c r="C824"/>
      <c r="D824"/>
      <c r="E824"/>
      <c r="F824"/>
      <c r="G824"/>
      <c r="H824"/>
      <c r="I824"/>
      <c r="J824"/>
      <c r="K824"/>
      <c r="L824"/>
    </row>
    <row r="825" spans="1:12">
      <c r="A825"/>
      <c r="B825"/>
      <c r="C825"/>
      <c r="D825"/>
      <c r="E825"/>
      <c r="F825"/>
      <c r="G825"/>
      <c r="H825"/>
      <c r="I825"/>
      <c r="J825"/>
      <c r="K825"/>
      <c r="L825"/>
    </row>
    <row r="826" spans="1:12">
      <c r="A826"/>
      <c r="B826"/>
      <c r="C826"/>
      <c r="D826"/>
      <c r="E826"/>
      <c r="F826"/>
      <c r="G826"/>
      <c r="H826"/>
      <c r="I826"/>
      <c r="J826"/>
      <c r="K826"/>
      <c r="L826"/>
    </row>
    <row r="827" spans="1:12">
      <c r="A827"/>
      <c r="B827"/>
      <c r="C827"/>
      <c r="D827"/>
      <c r="E827"/>
      <c r="F827"/>
      <c r="G827"/>
      <c r="H827"/>
      <c r="I827"/>
      <c r="J827"/>
      <c r="K827"/>
      <c r="L827"/>
    </row>
    <row r="828" spans="1:12">
      <c r="A828"/>
      <c r="B828"/>
      <c r="C828"/>
      <c r="D828"/>
      <c r="E828"/>
      <c r="F828"/>
      <c r="G828"/>
      <c r="H828"/>
      <c r="I828"/>
      <c r="J828"/>
      <c r="K828"/>
      <c r="L828"/>
    </row>
    <row r="829" spans="1:12">
      <c r="A829"/>
      <c r="B829"/>
      <c r="C829"/>
      <c r="D829"/>
      <c r="E829"/>
      <c r="F829"/>
      <c r="G829"/>
      <c r="H829"/>
      <c r="I829"/>
      <c r="J829"/>
      <c r="K829"/>
      <c r="L829"/>
    </row>
    <row r="830" spans="1:12">
      <c r="A830"/>
      <c r="B830"/>
      <c r="C830"/>
      <c r="D830"/>
      <c r="E830"/>
      <c r="F830"/>
      <c r="G830"/>
      <c r="H830"/>
      <c r="I830"/>
      <c r="J830"/>
      <c r="K830"/>
      <c r="L830"/>
    </row>
    <row r="831" spans="1:12">
      <c r="A831"/>
      <c r="B831"/>
      <c r="C831"/>
      <c r="D831"/>
      <c r="E831"/>
      <c r="F831"/>
      <c r="G831"/>
      <c r="H831"/>
      <c r="I831"/>
      <c r="J831"/>
      <c r="K831"/>
      <c r="L831"/>
    </row>
    <row r="832" spans="1:12">
      <c r="A832"/>
      <c r="B832"/>
      <c r="C832"/>
      <c r="D832"/>
      <c r="E832"/>
      <c r="F832"/>
      <c r="G832"/>
      <c r="H832"/>
      <c r="I832"/>
      <c r="J832"/>
      <c r="K832"/>
      <c r="L832"/>
    </row>
    <row r="833" spans="1:12">
      <c r="A833"/>
      <c r="B833"/>
      <c r="C833"/>
      <c r="D833"/>
      <c r="E833"/>
      <c r="F833"/>
      <c r="G833"/>
      <c r="H833"/>
      <c r="I833"/>
      <c r="J833"/>
      <c r="K833"/>
      <c r="L833"/>
    </row>
    <row r="834" spans="1:12">
      <c r="A834"/>
      <c r="B834"/>
      <c r="C834"/>
      <c r="D834"/>
      <c r="E834"/>
      <c r="F834"/>
      <c r="G834"/>
      <c r="H834"/>
      <c r="I834"/>
      <c r="J834"/>
      <c r="K834"/>
      <c r="L834"/>
    </row>
    <row r="835" spans="1:12">
      <c r="A835"/>
      <c r="B835"/>
      <c r="C835"/>
      <c r="D835"/>
      <c r="E835"/>
      <c r="F835"/>
      <c r="G835"/>
      <c r="H835"/>
      <c r="I835"/>
      <c r="J835"/>
      <c r="K835"/>
      <c r="L835"/>
    </row>
    <row r="836" spans="1:12">
      <c r="A836"/>
      <c r="B836"/>
      <c r="C836"/>
      <c r="D836"/>
      <c r="E836"/>
      <c r="F836"/>
      <c r="G836"/>
      <c r="H836"/>
      <c r="I836"/>
      <c r="J836"/>
      <c r="K836"/>
      <c r="L836"/>
    </row>
    <row r="837" spans="1:12">
      <c r="A837"/>
      <c r="B837"/>
      <c r="C837"/>
      <c r="D837"/>
      <c r="E837"/>
      <c r="F837"/>
      <c r="G837"/>
      <c r="H837"/>
      <c r="I837"/>
      <c r="J837"/>
      <c r="K837"/>
      <c r="L837"/>
    </row>
    <row r="838" spans="1:12">
      <c r="A838"/>
      <c r="B838"/>
      <c r="C838"/>
      <c r="D838"/>
      <c r="E838"/>
      <c r="F838"/>
      <c r="G838"/>
      <c r="H838"/>
      <c r="I838"/>
      <c r="J838"/>
      <c r="K838"/>
      <c r="L838"/>
    </row>
    <row r="839" spans="1:12">
      <c r="A839"/>
      <c r="B839"/>
      <c r="C839"/>
      <c r="D839"/>
      <c r="E839"/>
      <c r="F839"/>
      <c r="G839"/>
      <c r="H839"/>
      <c r="I839"/>
      <c r="J839"/>
      <c r="K839"/>
      <c r="L839"/>
    </row>
    <row r="840" spans="1:12">
      <c r="A840"/>
      <c r="B840"/>
      <c r="C840"/>
      <c r="D840"/>
      <c r="E840"/>
      <c r="F840"/>
      <c r="G840"/>
      <c r="H840"/>
      <c r="I840"/>
      <c r="J840"/>
      <c r="K840"/>
      <c r="L840"/>
    </row>
    <row r="841" spans="1:12">
      <c r="A841"/>
      <c r="B841"/>
      <c r="C841"/>
      <c r="D841"/>
      <c r="E841"/>
      <c r="F841"/>
      <c r="G841"/>
      <c r="H841"/>
      <c r="I841"/>
      <c r="J841"/>
      <c r="K841"/>
      <c r="L841"/>
    </row>
    <row r="842" spans="1:12">
      <c r="A842"/>
      <c r="B842"/>
      <c r="C842"/>
      <c r="D842"/>
      <c r="E842"/>
      <c r="F842"/>
      <c r="G842"/>
      <c r="H842"/>
      <c r="I842"/>
      <c r="J842"/>
      <c r="K842"/>
      <c r="L842"/>
    </row>
    <row r="843" spans="1:12">
      <c r="A843"/>
      <c r="B843"/>
      <c r="C843"/>
      <c r="D843"/>
      <c r="E843"/>
      <c r="F843"/>
      <c r="G843"/>
      <c r="H843"/>
      <c r="I843"/>
      <c r="J843"/>
      <c r="K843"/>
      <c r="L843"/>
    </row>
    <row r="844" spans="1:12">
      <c r="A844"/>
      <c r="B844"/>
      <c r="C844"/>
      <c r="D844"/>
      <c r="E844"/>
      <c r="F844"/>
      <c r="G844"/>
      <c r="H844"/>
      <c r="I844"/>
      <c r="J844"/>
      <c r="K844"/>
      <c r="L844"/>
    </row>
    <row r="845" spans="1:12">
      <c r="A845"/>
      <c r="B845"/>
      <c r="C845"/>
      <c r="D845"/>
      <c r="E845"/>
      <c r="F845"/>
      <c r="G845"/>
      <c r="H845"/>
      <c r="I845"/>
      <c r="J845"/>
      <c r="K845"/>
      <c r="L845"/>
    </row>
    <row r="846" spans="1:12">
      <c r="A846"/>
      <c r="B846"/>
      <c r="C846"/>
      <c r="D846"/>
      <c r="E846"/>
      <c r="F846"/>
      <c r="G846"/>
      <c r="H846"/>
      <c r="I846"/>
      <c r="J846"/>
      <c r="K846"/>
      <c r="L846"/>
    </row>
    <row r="847" spans="1:12">
      <c r="A847"/>
      <c r="B847"/>
      <c r="C847"/>
      <c r="D847"/>
      <c r="E847"/>
      <c r="F847"/>
      <c r="G847"/>
      <c r="H847"/>
      <c r="I847"/>
      <c r="J847"/>
      <c r="K847"/>
      <c r="L847"/>
    </row>
    <row r="848" spans="1:12">
      <c r="A848"/>
      <c r="B848"/>
      <c r="C848"/>
      <c r="D848"/>
      <c r="E848"/>
      <c r="F848"/>
      <c r="G848"/>
      <c r="H848"/>
      <c r="I848"/>
      <c r="J848"/>
      <c r="K848"/>
      <c r="L848"/>
    </row>
    <row r="849" spans="1:12">
      <c r="A849"/>
      <c r="B849"/>
      <c r="C849"/>
      <c r="D849"/>
      <c r="E849"/>
      <c r="F849"/>
      <c r="G849"/>
      <c r="H849"/>
      <c r="I849"/>
      <c r="J849"/>
      <c r="K849"/>
      <c r="L849"/>
    </row>
    <row r="850" spans="1:12">
      <c r="A850"/>
      <c r="B850"/>
      <c r="C850"/>
      <c r="D850"/>
      <c r="E850"/>
      <c r="F850"/>
      <c r="G850"/>
      <c r="H850"/>
      <c r="I850"/>
      <c r="J850"/>
      <c r="K850"/>
      <c r="L850"/>
    </row>
    <row r="851" spans="1:12">
      <c r="A851"/>
      <c r="B851"/>
      <c r="C851"/>
      <c r="D851"/>
      <c r="E851"/>
      <c r="F851"/>
      <c r="G851"/>
      <c r="H851"/>
      <c r="I851"/>
      <c r="J851"/>
      <c r="K851"/>
      <c r="L851"/>
    </row>
    <row r="852" spans="1:12">
      <c r="A852"/>
      <c r="B852"/>
      <c r="C852"/>
      <c r="D852"/>
      <c r="E852"/>
      <c r="F852"/>
      <c r="G852"/>
      <c r="H852"/>
      <c r="I852"/>
      <c r="J852"/>
      <c r="K852"/>
      <c r="L852"/>
    </row>
    <row r="853" spans="1:12">
      <c r="A853"/>
      <c r="B853"/>
      <c r="C853"/>
      <c r="D853"/>
      <c r="E853"/>
      <c r="F853"/>
      <c r="G853"/>
      <c r="H853"/>
      <c r="I853"/>
      <c r="J853"/>
      <c r="K853"/>
      <c r="L853"/>
    </row>
    <row r="854" spans="1:12">
      <c r="A854"/>
      <c r="B854"/>
      <c r="C854"/>
      <c r="D854"/>
      <c r="E854"/>
      <c r="F854"/>
      <c r="G854"/>
      <c r="H854"/>
      <c r="I854"/>
      <c r="J854"/>
      <c r="K854"/>
      <c r="L854"/>
    </row>
    <row r="855" spans="1:12">
      <c r="A855"/>
      <c r="B855"/>
      <c r="C855"/>
      <c r="D855"/>
      <c r="E855"/>
      <c r="F855"/>
      <c r="G855"/>
      <c r="H855"/>
      <c r="I855"/>
      <c r="J855"/>
      <c r="K855"/>
      <c r="L855"/>
    </row>
    <row r="856" spans="1:12">
      <c r="A856"/>
      <c r="B856"/>
      <c r="C856"/>
      <c r="D856"/>
      <c r="E856"/>
      <c r="F856"/>
      <c r="G856"/>
      <c r="H856"/>
      <c r="I856"/>
      <c r="J856"/>
      <c r="K856"/>
      <c r="L856"/>
    </row>
    <row r="857" spans="1:12">
      <c r="A857"/>
      <c r="B857"/>
      <c r="C857"/>
      <c r="D857"/>
      <c r="E857"/>
      <c r="F857"/>
      <c r="G857"/>
      <c r="H857"/>
      <c r="I857"/>
      <c r="J857"/>
      <c r="K857"/>
      <c r="L857"/>
    </row>
    <row r="858" spans="1:12">
      <c r="A858"/>
      <c r="B858"/>
      <c r="C858"/>
      <c r="D858"/>
      <c r="E858"/>
      <c r="F858"/>
      <c r="G858"/>
      <c r="H858"/>
      <c r="I858"/>
      <c r="J858"/>
      <c r="K858"/>
      <c r="L858"/>
    </row>
    <row r="859" spans="1:12">
      <c r="A859"/>
      <c r="B859"/>
      <c r="C859"/>
      <c r="D859"/>
      <c r="E859"/>
      <c r="F859"/>
      <c r="G859"/>
      <c r="H859"/>
      <c r="I859"/>
      <c r="J859"/>
      <c r="K859"/>
      <c r="L859"/>
    </row>
    <row r="860" spans="1:12">
      <c r="A860"/>
      <c r="B860"/>
      <c r="C860"/>
      <c r="D860"/>
      <c r="E860"/>
      <c r="F860"/>
      <c r="G860"/>
      <c r="H860"/>
      <c r="I860"/>
      <c r="J860"/>
      <c r="K860"/>
      <c r="L860"/>
    </row>
    <row r="861" spans="1:12">
      <c r="A861"/>
      <c r="B861"/>
      <c r="C861"/>
      <c r="D861"/>
      <c r="E861"/>
      <c r="F861"/>
      <c r="G861"/>
      <c r="H861"/>
      <c r="I861"/>
      <c r="J861"/>
      <c r="K861"/>
      <c r="L861"/>
    </row>
    <row r="862" spans="1:12">
      <c r="A862"/>
      <c r="B862"/>
      <c r="C862"/>
      <c r="D862"/>
      <c r="E862"/>
      <c r="F862"/>
      <c r="G862"/>
      <c r="H862"/>
      <c r="I862"/>
      <c r="J862"/>
      <c r="K862"/>
      <c r="L862"/>
    </row>
    <row r="863" spans="1:12">
      <c r="A863"/>
      <c r="B863"/>
      <c r="C863"/>
      <c r="D863"/>
      <c r="E863"/>
      <c r="F863"/>
      <c r="G863"/>
      <c r="H863"/>
      <c r="I863"/>
      <c r="J863"/>
      <c r="K863"/>
      <c r="L863"/>
    </row>
    <row r="864" spans="1:12">
      <c r="A864"/>
      <c r="B864"/>
      <c r="C864"/>
      <c r="D864"/>
      <c r="E864"/>
      <c r="F864"/>
      <c r="G864"/>
      <c r="H864"/>
      <c r="I864"/>
      <c r="J864"/>
      <c r="K864"/>
      <c r="L864"/>
    </row>
    <row r="865" spans="1:12">
      <c r="A865"/>
      <c r="B865"/>
      <c r="C865"/>
      <c r="D865"/>
      <c r="E865"/>
      <c r="F865"/>
      <c r="G865"/>
      <c r="H865"/>
      <c r="I865"/>
      <c r="J865"/>
      <c r="K865"/>
      <c r="L865"/>
    </row>
    <row r="866" spans="1:12">
      <c r="A866"/>
      <c r="B866"/>
      <c r="C866"/>
      <c r="D866"/>
      <c r="E866"/>
      <c r="F866"/>
      <c r="G866"/>
      <c r="H866"/>
      <c r="I866"/>
      <c r="J866"/>
      <c r="K866"/>
      <c r="L866"/>
    </row>
    <row r="867" spans="1:12">
      <c r="A867"/>
      <c r="B867"/>
      <c r="C867"/>
      <c r="D867"/>
      <c r="E867"/>
      <c r="F867"/>
      <c r="G867"/>
      <c r="H867"/>
      <c r="I867"/>
      <c r="J867"/>
      <c r="K867"/>
      <c r="L867"/>
    </row>
    <row r="868" spans="1:12">
      <c r="A868"/>
      <c r="B868"/>
      <c r="C868"/>
      <c r="D868"/>
      <c r="E868"/>
      <c r="F868"/>
      <c r="G868"/>
      <c r="H868"/>
      <c r="I868"/>
      <c r="J868"/>
      <c r="K868"/>
      <c r="L868"/>
    </row>
    <row r="869" spans="1:12">
      <c r="A869"/>
      <c r="B869"/>
      <c r="C869"/>
      <c r="D869"/>
      <c r="E869"/>
      <c r="F869"/>
      <c r="G869"/>
      <c r="H869"/>
      <c r="I869"/>
      <c r="J869"/>
      <c r="K869"/>
      <c r="L869"/>
    </row>
    <row r="870" spans="1:12">
      <c r="A870"/>
      <c r="B870"/>
      <c r="C870"/>
      <c r="D870"/>
      <c r="E870"/>
      <c r="F870"/>
      <c r="G870"/>
      <c r="H870"/>
      <c r="I870"/>
      <c r="J870"/>
      <c r="K870"/>
      <c r="L870"/>
    </row>
    <row r="871" spans="1:12">
      <c r="A871"/>
      <c r="B871"/>
      <c r="C871"/>
      <c r="D871"/>
      <c r="E871"/>
      <c r="F871"/>
      <c r="G871"/>
      <c r="H871"/>
      <c r="I871"/>
      <c r="J871"/>
      <c r="K871"/>
      <c r="L871"/>
    </row>
    <row r="872" spans="1:12">
      <c r="A872"/>
      <c r="B872"/>
      <c r="C872"/>
      <c r="D872"/>
      <c r="E872"/>
      <c r="F872"/>
      <c r="G872"/>
      <c r="H872"/>
      <c r="I872"/>
      <c r="J872"/>
      <c r="K872"/>
      <c r="L872"/>
    </row>
    <row r="873" spans="1:12">
      <c r="A873"/>
      <c r="B873"/>
      <c r="C873"/>
      <c r="D873"/>
      <c r="E873"/>
      <c r="F873"/>
      <c r="G873"/>
      <c r="H873"/>
      <c r="I873"/>
      <c r="J873"/>
      <c r="K873"/>
      <c r="L873"/>
    </row>
    <row r="874" spans="1:12">
      <c r="A874"/>
      <c r="B874"/>
      <c r="C874"/>
      <c r="D874"/>
      <c r="E874"/>
      <c r="F874"/>
      <c r="G874"/>
      <c r="H874"/>
      <c r="I874"/>
      <c r="J874"/>
      <c r="K874"/>
      <c r="L874"/>
    </row>
    <row r="875" spans="1:12">
      <c r="A875"/>
      <c r="B875"/>
      <c r="C875"/>
      <c r="D875"/>
      <c r="E875"/>
      <c r="F875"/>
      <c r="G875"/>
      <c r="H875"/>
      <c r="I875"/>
      <c r="J875"/>
      <c r="K875"/>
      <c r="L875"/>
    </row>
    <row r="876" spans="1:12">
      <c r="A876"/>
      <c r="B876"/>
      <c r="C876"/>
      <c r="D876"/>
      <c r="E876"/>
      <c r="F876"/>
      <c r="G876"/>
      <c r="H876"/>
      <c r="I876"/>
      <c r="J876"/>
      <c r="K876"/>
      <c r="L876"/>
    </row>
    <row r="877" spans="1:12">
      <c r="A877"/>
      <c r="B877"/>
      <c r="C877"/>
      <c r="D877"/>
      <c r="E877"/>
      <c r="F877"/>
      <c r="G877"/>
      <c r="H877"/>
      <c r="I877"/>
      <c r="J877"/>
      <c r="K877"/>
      <c r="L877"/>
    </row>
    <row r="878" spans="1:12">
      <c r="A878"/>
      <c r="B878"/>
      <c r="C878"/>
      <c r="D878"/>
      <c r="E878"/>
      <c r="F878"/>
      <c r="G878"/>
      <c r="H878"/>
      <c r="I878"/>
      <c r="J878"/>
      <c r="K878"/>
      <c r="L878"/>
    </row>
    <row r="879" spans="1:12">
      <c r="A879"/>
      <c r="B879"/>
      <c r="C879"/>
      <c r="D879"/>
      <c r="E879"/>
      <c r="F879"/>
      <c r="G879"/>
      <c r="H879"/>
      <c r="I879"/>
      <c r="J879"/>
      <c r="K879"/>
      <c r="L879"/>
    </row>
    <row r="880" spans="1:12">
      <c r="A880"/>
      <c r="B880"/>
      <c r="C880"/>
      <c r="D880"/>
      <c r="E880"/>
      <c r="F880"/>
      <c r="G880"/>
      <c r="H880"/>
      <c r="I880"/>
      <c r="J880"/>
      <c r="K880"/>
      <c r="L880"/>
    </row>
    <row r="881" spans="1:12">
      <c r="A881"/>
      <c r="B881"/>
      <c r="C881"/>
      <c r="D881"/>
      <c r="E881"/>
      <c r="F881"/>
      <c r="G881"/>
      <c r="H881"/>
      <c r="I881"/>
      <c r="J881"/>
      <c r="K881"/>
      <c r="L881"/>
    </row>
    <row r="882" spans="1:12">
      <c r="A882"/>
      <c r="B882"/>
      <c r="C882"/>
      <c r="D882"/>
      <c r="E882"/>
      <c r="F882"/>
      <c r="G882"/>
      <c r="H882"/>
      <c r="I882"/>
      <c r="J882"/>
      <c r="K882"/>
      <c r="L882"/>
    </row>
    <row r="883" spans="1:12">
      <c r="A883"/>
      <c r="B883"/>
      <c r="C883"/>
      <c r="D883"/>
      <c r="E883"/>
      <c r="F883"/>
      <c r="G883"/>
      <c r="H883"/>
      <c r="I883"/>
      <c r="J883"/>
      <c r="K883"/>
      <c r="L883"/>
    </row>
    <row r="884" spans="1:12">
      <c r="A884"/>
      <c r="B884"/>
      <c r="C884"/>
      <c r="D884"/>
      <c r="E884"/>
      <c r="F884"/>
      <c r="G884"/>
      <c r="H884"/>
      <c r="I884"/>
      <c r="J884"/>
      <c r="K884"/>
      <c r="L884"/>
    </row>
    <row r="885" spans="1:12">
      <c r="A885"/>
      <c r="B885"/>
      <c r="C885"/>
      <c r="D885"/>
      <c r="E885"/>
      <c r="F885"/>
      <c r="G885"/>
      <c r="H885"/>
      <c r="I885"/>
      <c r="J885"/>
      <c r="K885"/>
      <c r="L885"/>
    </row>
    <row r="886" spans="1:12">
      <c r="A886"/>
      <c r="B886"/>
      <c r="C886"/>
      <c r="D886"/>
      <c r="E886"/>
      <c r="F886"/>
      <c r="G886"/>
      <c r="H886"/>
      <c r="I886"/>
      <c r="J886"/>
      <c r="K886"/>
      <c r="L886"/>
    </row>
    <row r="887" spans="1:12">
      <c r="A887"/>
      <c r="B887"/>
      <c r="C887"/>
      <c r="D887"/>
      <c r="E887"/>
      <c r="F887"/>
      <c r="G887"/>
      <c r="H887"/>
      <c r="I887"/>
      <c r="J887"/>
      <c r="K887"/>
      <c r="L887"/>
    </row>
    <row r="888" spans="1:12">
      <c r="A888"/>
      <c r="B888"/>
      <c r="C888"/>
      <c r="D888"/>
      <c r="E888"/>
      <c r="F888"/>
      <c r="G888"/>
      <c r="H888"/>
      <c r="I888"/>
      <c r="J888"/>
      <c r="K888"/>
      <c r="L888"/>
    </row>
    <row r="889" spans="1:12">
      <c r="A889"/>
      <c r="B889"/>
      <c r="C889"/>
      <c r="D889"/>
      <c r="E889"/>
      <c r="F889"/>
      <c r="G889"/>
      <c r="H889"/>
      <c r="I889"/>
      <c r="J889"/>
      <c r="K889"/>
      <c r="L889"/>
    </row>
    <row r="890" spans="1:12">
      <c r="A890"/>
      <c r="B890"/>
      <c r="C890"/>
      <c r="D890"/>
      <c r="E890"/>
      <c r="F890"/>
      <c r="G890"/>
      <c r="H890"/>
      <c r="I890"/>
      <c r="J890"/>
      <c r="K890"/>
      <c r="L890"/>
    </row>
    <row r="891" spans="1:12">
      <c r="A891"/>
      <c r="B891"/>
      <c r="C891"/>
      <c r="D891"/>
      <c r="E891"/>
      <c r="F891"/>
      <c r="G891"/>
      <c r="H891"/>
      <c r="I891"/>
      <c r="J891"/>
      <c r="K891"/>
      <c r="L891"/>
    </row>
    <row r="892" spans="1:12">
      <c r="A892"/>
      <c r="B892"/>
      <c r="C892"/>
      <c r="D892"/>
      <c r="E892"/>
      <c r="F892"/>
      <c r="G892"/>
      <c r="H892"/>
      <c r="I892"/>
      <c r="J892"/>
      <c r="K892"/>
      <c r="L892"/>
    </row>
    <row r="893" spans="1:12">
      <c r="A893"/>
      <c r="B893"/>
      <c r="C893"/>
      <c r="D893"/>
      <c r="E893"/>
      <c r="F893"/>
      <c r="G893"/>
      <c r="H893"/>
      <c r="I893"/>
      <c r="J893"/>
      <c r="K893"/>
      <c r="L893"/>
    </row>
    <row r="894" spans="1:12">
      <c r="A894"/>
      <c r="B894"/>
      <c r="C894"/>
      <c r="D894"/>
      <c r="E894"/>
      <c r="F894"/>
      <c r="G894"/>
      <c r="H894"/>
      <c r="I894"/>
      <c r="J894"/>
      <c r="K894"/>
      <c r="L894"/>
    </row>
    <row r="895" spans="1:12">
      <c r="A895"/>
      <c r="B895"/>
      <c r="C895"/>
      <c r="D895"/>
      <c r="E895"/>
      <c r="F895"/>
      <c r="G895"/>
      <c r="H895"/>
      <c r="I895"/>
      <c r="J895"/>
      <c r="K895"/>
      <c r="L895"/>
    </row>
    <row r="896" spans="1:12">
      <c r="A896"/>
      <c r="B896"/>
      <c r="C896"/>
      <c r="D896"/>
      <c r="E896"/>
      <c r="F896"/>
      <c r="G896"/>
      <c r="H896"/>
      <c r="I896"/>
      <c r="J896"/>
      <c r="K896"/>
      <c r="L896"/>
    </row>
    <row r="897" spans="1:12">
      <c r="A897"/>
      <c r="B897"/>
      <c r="C897"/>
      <c r="D897"/>
      <c r="E897"/>
      <c r="F897"/>
      <c r="G897"/>
      <c r="H897"/>
      <c r="I897"/>
      <c r="J897"/>
      <c r="K897"/>
      <c r="L897"/>
    </row>
    <row r="898" spans="1:12">
      <c r="A898"/>
      <c r="B898"/>
      <c r="C898"/>
      <c r="D898"/>
      <c r="E898"/>
      <c r="F898"/>
      <c r="G898"/>
      <c r="H898"/>
      <c r="I898"/>
      <c r="J898"/>
      <c r="K898"/>
      <c r="L898"/>
    </row>
    <row r="899" spans="1:12">
      <c r="A899"/>
      <c r="B899"/>
      <c r="C899"/>
      <c r="D899"/>
      <c r="E899"/>
      <c r="F899"/>
      <c r="G899"/>
      <c r="H899"/>
      <c r="I899"/>
      <c r="J899"/>
      <c r="K899"/>
      <c r="L899"/>
    </row>
    <row r="900" spans="1:12">
      <c r="A900"/>
      <c r="B900"/>
      <c r="C900"/>
      <c r="D900"/>
      <c r="E900"/>
      <c r="F900"/>
      <c r="G900"/>
      <c r="H900"/>
      <c r="I900"/>
      <c r="J900"/>
      <c r="K900"/>
      <c r="L900"/>
    </row>
    <row r="901" spans="1:12">
      <c r="A901"/>
      <c r="B901"/>
      <c r="C901"/>
      <c r="D901"/>
      <c r="E901"/>
      <c r="F901"/>
      <c r="G901"/>
      <c r="H901"/>
      <c r="I901"/>
      <c r="J901"/>
      <c r="K901"/>
      <c r="L901"/>
    </row>
    <row r="902" spans="1:12">
      <c r="A902"/>
      <c r="B902"/>
      <c r="C902"/>
      <c r="D902"/>
      <c r="E902"/>
      <c r="F902"/>
      <c r="G902"/>
      <c r="H902"/>
      <c r="I902"/>
      <c r="J902"/>
      <c r="K902"/>
      <c r="L902"/>
    </row>
    <row r="903" spans="1:12">
      <c r="A903"/>
      <c r="B903"/>
      <c r="C903"/>
      <c r="D903"/>
      <c r="E903"/>
      <c r="F903"/>
      <c r="G903"/>
      <c r="H903"/>
      <c r="I903"/>
      <c r="J903"/>
      <c r="K903"/>
      <c r="L903"/>
    </row>
    <row r="904" spans="1:12">
      <c r="A904"/>
      <c r="B904"/>
      <c r="C904"/>
      <c r="D904"/>
      <c r="E904"/>
      <c r="F904"/>
      <c r="G904"/>
      <c r="H904"/>
      <c r="I904"/>
      <c r="J904"/>
      <c r="K904"/>
      <c r="L904"/>
    </row>
    <row r="905" spans="1:12">
      <c r="A905"/>
      <c r="B905"/>
      <c r="C905"/>
      <c r="D905"/>
      <c r="E905"/>
      <c r="F905"/>
      <c r="G905"/>
      <c r="H905"/>
      <c r="I905"/>
      <c r="J905"/>
      <c r="K905"/>
      <c r="L905"/>
    </row>
    <row r="906" spans="1:12">
      <c r="A906"/>
      <c r="B906"/>
      <c r="C906"/>
      <c r="D906"/>
      <c r="E906"/>
      <c r="F906"/>
      <c r="G906"/>
      <c r="H906"/>
      <c r="I906"/>
      <c r="J906"/>
      <c r="K906"/>
      <c r="L906"/>
    </row>
    <row r="907" spans="1:12">
      <c r="A907"/>
      <c r="B907"/>
      <c r="C907"/>
      <c r="D907"/>
      <c r="E907"/>
      <c r="F907"/>
      <c r="G907"/>
      <c r="H907"/>
      <c r="I907"/>
      <c r="J907"/>
      <c r="K907"/>
      <c r="L907"/>
    </row>
    <row r="908" spans="1:12">
      <c r="A908"/>
      <c r="B908"/>
      <c r="C908"/>
      <c r="D908"/>
      <c r="E908"/>
      <c r="F908"/>
      <c r="G908"/>
      <c r="H908"/>
      <c r="I908"/>
      <c r="J908"/>
      <c r="K908"/>
      <c r="L908"/>
    </row>
    <row r="909" spans="1:12">
      <c r="A909"/>
      <c r="B909"/>
      <c r="C909"/>
      <c r="D909"/>
      <c r="E909"/>
      <c r="F909"/>
      <c r="G909"/>
      <c r="H909"/>
      <c r="I909"/>
      <c r="J909"/>
      <c r="K909"/>
      <c r="L909"/>
    </row>
    <row r="910" spans="1:12">
      <c r="A910"/>
      <c r="B910"/>
      <c r="C910"/>
      <c r="D910"/>
      <c r="E910"/>
      <c r="F910"/>
      <c r="G910"/>
      <c r="H910"/>
      <c r="I910"/>
      <c r="J910"/>
      <c r="K910"/>
      <c r="L910"/>
    </row>
    <row r="911" spans="1:12">
      <c r="A911"/>
      <c r="B911"/>
      <c r="C911"/>
      <c r="D911"/>
      <c r="E911"/>
      <c r="F911"/>
      <c r="G911"/>
      <c r="H911"/>
      <c r="I911"/>
      <c r="J911"/>
      <c r="K911"/>
      <c r="L911"/>
    </row>
  </sheetData>
  <mergeCells count="42">
    <mergeCell ref="B8:C8"/>
    <mergeCell ref="D8:E8"/>
    <mergeCell ref="A3:L3"/>
    <mergeCell ref="B6:C6"/>
    <mergeCell ref="D6:E6"/>
    <mergeCell ref="B7:C7"/>
    <mergeCell ref="D7:E7"/>
    <mergeCell ref="B9:C9"/>
    <mergeCell ref="D9:E9"/>
    <mergeCell ref="B10:C10"/>
    <mergeCell ref="D10:E10"/>
    <mergeCell ref="B11:C11"/>
    <mergeCell ref="D11:E11"/>
    <mergeCell ref="B12:C12"/>
    <mergeCell ref="D12:E12"/>
    <mergeCell ref="B13:C13"/>
    <mergeCell ref="D13:E13"/>
    <mergeCell ref="B14:C14"/>
    <mergeCell ref="D14:E14"/>
    <mergeCell ref="B49:L49"/>
    <mergeCell ref="B19:C19"/>
    <mergeCell ref="D19:E19"/>
    <mergeCell ref="B20:C20"/>
    <mergeCell ref="D20:E20"/>
    <mergeCell ref="B21:C21"/>
    <mergeCell ref="D21:E21"/>
    <mergeCell ref="B22:C22"/>
    <mergeCell ref="D22:E22"/>
    <mergeCell ref="B23:C23"/>
    <mergeCell ref="D23:E23"/>
    <mergeCell ref="B36:L36"/>
    <mergeCell ref="M69:N69"/>
    <mergeCell ref="O69:P69"/>
    <mergeCell ref="M70:N70"/>
    <mergeCell ref="O70:P70"/>
    <mergeCell ref="B58:L58"/>
    <mergeCell ref="M66:N66"/>
    <mergeCell ref="O66:P66"/>
    <mergeCell ref="M67:N67"/>
    <mergeCell ref="O67:P67"/>
    <mergeCell ref="M68:N68"/>
    <mergeCell ref="O68:P68"/>
  </mergeCells>
  <pageMargins left="0.7" right="0.7" top="0.75" bottom="0.75" header="0.3" footer="0.3"/>
  <pageSetup orientation="portrait" horizontalDpi="0"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93343-846C-4B0A-8243-BAC566E85494}">
  <dimension ref="A1:BW218"/>
  <sheetViews>
    <sheetView zoomScaleNormal="100" workbookViewId="0">
      <selection activeCell="B38" sqref="B38"/>
    </sheetView>
  </sheetViews>
  <sheetFormatPr defaultColWidth="9.109375" defaultRowHeight="15.75" customHeight="1"/>
  <cols>
    <col min="1" max="12" width="10.33203125" style="1" customWidth="1"/>
    <col min="13" max="13" width="9.109375" customWidth="1"/>
    <col min="76" max="16384" width="9.109375" style="1"/>
  </cols>
  <sheetData>
    <row r="1" spans="1:12" ht="15.75" customHeight="1">
      <c r="A1" s="23" t="s">
        <v>1472</v>
      </c>
      <c r="B1" s="22"/>
      <c r="C1" s="5" t="s">
        <v>38</v>
      </c>
      <c r="D1" s="19"/>
      <c r="E1" s="22"/>
      <c r="F1" s="22"/>
      <c r="G1" s="22"/>
      <c r="H1" s="22"/>
      <c r="I1" s="22"/>
      <c r="J1" s="22"/>
      <c r="K1" s="22"/>
      <c r="L1" s="2"/>
    </row>
    <row r="2" spans="1:12" ht="15.75" customHeight="1">
      <c r="A2" s="23"/>
      <c r="B2" s="22"/>
      <c r="C2" s="19"/>
      <c r="D2" s="19"/>
      <c r="E2" s="22"/>
      <c r="F2" s="22"/>
      <c r="G2" s="22"/>
      <c r="H2" s="22"/>
      <c r="I2" s="22"/>
      <c r="J2" s="22"/>
      <c r="K2" s="22"/>
      <c r="L2" s="2"/>
    </row>
    <row r="3" spans="1:12" ht="15.75" customHeight="1">
      <c r="A3" s="1657" t="s">
        <v>2059</v>
      </c>
      <c r="B3" s="1909"/>
      <c r="C3" s="1909"/>
      <c r="D3" s="1909"/>
      <c r="E3" s="1909"/>
      <c r="F3" s="1909"/>
      <c r="G3" s="1909"/>
      <c r="H3" s="1909"/>
      <c r="I3" s="1909"/>
      <c r="J3" s="1909"/>
      <c r="K3" s="1909"/>
      <c r="L3" s="1909"/>
    </row>
    <row r="4" spans="1:12" ht="15.75" customHeight="1">
      <c r="A4" s="1657"/>
      <c r="B4" s="1909"/>
      <c r="C4" s="1909"/>
      <c r="D4" s="1909"/>
      <c r="E4" s="1909"/>
      <c r="F4" s="1909"/>
      <c r="G4" s="1909"/>
      <c r="H4" s="1909"/>
      <c r="I4" s="1909"/>
      <c r="J4" s="1909"/>
      <c r="K4" s="1909"/>
      <c r="L4" s="1909"/>
    </row>
    <row r="5" spans="1:12" ht="21" customHeight="1">
      <c r="A5" s="3" t="s">
        <v>2058</v>
      </c>
      <c r="B5" s="3"/>
      <c r="C5" s="3"/>
      <c r="D5" s="3"/>
      <c r="E5" s="3"/>
      <c r="F5" s="3"/>
      <c r="G5" s="3"/>
      <c r="H5" s="3"/>
      <c r="I5" s="3"/>
      <c r="J5" s="162"/>
      <c r="K5" s="3"/>
      <c r="L5" s="2"/>
    </row>
    <row r="6" spans="1:12" ht="21" customHeight="1">
      <c r="A6" s="667" t="s">
        <v>2057</v>
      </c>
      <c r="B6" s="11">
        <v>1</v>
      </c>
      <c r="C6" s="3"/>
      <c r="D6" s="3"/>
      <c r="E6" s="3"/>
      <c r="F6" s="3"/>
      <c r="G6" s="3"/>
      <c r="H6" s="3"/>
      <c r="I6" s="3"/>
      <c r="J6" s="162"/>
      <c r="K6" s="3"/>
      <c r="L6" s="2"/>
    </row>
    <row r="7" spans="1:12" ht="21" customHeight="1">
      <c r="A7" s="667" t="s">
        <v>2056</v>
      </c>
      <c r="B7" s="11">
        <f xml:space="preserve"> 0.5</f>
        <v>0.5</v>
      </c>
      <c r="C7" s="3"/>
      <c r="D7" s="3"/>
      <c r="E7" s="3"/>
      <c r="F7" s="3"/>
      <c r="G7" s="3"/>
      <c r="H7" s="3"/>
      <c r="I7" s="3"/>
      <c r="J7" s="162"/>
      <c r="K7" s="3"/>
      <c r="L7" s="2"/>
    </row>
    <row r="8" spans="1:12" ht="21" customHeight="1">
      <c r="A8" s="3"/>
      <c r="B8" s="3"/>
      <c r="C8" s="3"/>
      <c r="D8" s="3"/>
      <c r="E8" s="3"/>
      <c r="F8" s="3"/>
      <c r="G8" s="3"/>
      <c r="H8" s="3"/>
      <c r="I8" s="3"/>
      <c r="J8" s="162"/>
      <c r="K8" s="3"/>
      <c r="L8" s="2"/>
    </row>
    <row r="9" spans="1:12" ht="15.75" customHeight="1">
      <c r="A9" s="3" t="s">
        <v>2055</v>
      </c>
      <c r="B9" s="3"/>
      <c r="C9" s="3"/>
      <c r="D9" s="3"/>
      <c r="E9" s="3"/>
      <c r="F9" s="3"/>
      <c r="G9" s="3"/>
      <c r="H9" s="3"/>
      <c r="I9" s="3"/>
      <c r="J9" s="3"/>
      <c r="K9" s="3"/>
      <c r="L9" s="2"/>
    </row>
    <row r="10" spans="1:12" ht="15.75" customHeight="1">
      <c r="A10" s="162" t="s">
        <v>2054</v>
      </c>
      <c r="B10" s="11">
        <v>1</v>
      </c>
      <c r="C10" s="1237"/>
      <c r="D10" s="163"/>
      <c r="E10" s="3"/>
      <c r="F10" s="3"/>
      <c r="G10" s="3"/>
      <c r="H10" s="3"/>
      <c r="I10" s="3"/>
      <c r="J10" s="3"/>
      <c r="K10" s="3"/>
      <c r="L10" s="2"/>
    </row>
    <row r="11" spans="1:12" ht="15.75" customHeight="1">
      <c r="A11" s="162" t="s">
        <v>2053</v>
      </c>
      <c r="B11" s="11">
        <v>2</v>
      </c>
      <c r="C11" s="1226"/>
      <c r="D11" s="1225"/>
      <c r="E11" s="3"/>
      <c r="F11" s="3"/>
      <c r="G11" s="3"/>
      <c r="H11" s="3"/>
      <c r="I11" s="3"/>
      <c r="J11" s="3"/>
      <c r="K11" s="3"/>
      <c r="L11" s="2"/>
    </row>
    <row r="12" spans="1:12" ht="15.75" customHeight="1">
      <c r="A12" s="162" t="s">
        <v>2052</v>
      </c>
      <c r="B12" s="679"/>
      <c r="C12" s="1226"/>
      <c r="D12" s="1225"/>
      <c r="E12" s="3"/>
      <c r="F12" s="3"/>
      <c r="G12" s="3"/>
      <c r="H12" s="3"/>
      <c r="I12" s="3"/>
      <c r="J12" s="3"/>
      <c r="K12" s="3"/>
      <c r="L12" s="2"/>
    </row>
    <row r="13" spans="1:12" ht="15.75" customHeight="1">
      <c r="A13" s="3"/>
      <c r="B13" s="162"/>
      <c r="C13" s="1260"/>
      <c r="D13" s="1225"/>
      <c r="E13" s="3"/>
      <c r="F13" s="3"/>
      <c r="G13" s="3"/>
      <c r="H13" s="3"/>
      <c r="I13" s="3"/>
      <c r="J13" s="3"/>
      <c r="K13" s="3"/>
      <c r="L13" s="2"/>
    </row>
    <row r="14" spans="1:12" ht="15.75" customHeight="1">
      <c r="A14" s="3" t="s">
        <v>2051</v>
      </c>
      <c r="B14" s="162"/>
      <c r="C14" s="1260"/>
      <c r="D14" s="1225"/>
      <c r="E14" s="3"/>
      <c r="F14" s="3"/>
      <c r="G14" s="3"/>
      <c r="H14" s="3"/>
      <c r="I14" s="3"/>
      <c r="J14" s="3"/>
      <c r="K14" s="3"/>
      <c r="L14" s="2"/>
    </row>
    <row r="15" spans="1:12" ht="15.75" customHeight="1">
      <c r="A15" s="3"/>
      <c r="B15" s="162"/>
      <c r="C15" s="1260"/>
      <c r="D15" s="1225"/>
      <c r="E15" s="3"/>
      <c r="F15" s="3"/>
      <c r="G15" s="3"/>
      <c r="H15" s="3"/>
      <c r="I15" s="3"/>
      <c r="J15" s="3"/>
      <c r="K15" s="3"/>
      <c r="L15" s="2"/>
    </row>
    <row r="16" spans="1:12" ht="15.75" customHeight="1">
      <c r="A16" s="3"/>
      <c r="B16" s="1805" t="s">
        <v>2050</v>
      </c>
      <c r="C16" s="1807"/>
      <c r="D16" s="1805" t="s">
        <v>1952</v>
      </c>
      <c r="E16" s="1807"/>
      <c r="F16" s="3"/>
      <c r="G16" s="3"/>
      <c r="H16" s="3"/>
      <c r="I16" s="3"/>
      <c r="J16" s="3"/>
      <c r="K16" s="3"/>
      <c r="L16" s="2"/>
    </row>
    <row r="17" spans="1:12" ht="15.75" customHeight="1">
      <c r="A17" s="3"/>
      <c r="B17" s="1808"/>
      <c r="C17" s="1810"/>
      <c r="D17" s="1808"/>
      <c r="E17" s="1810"/>
      <c r="F17" s="3"/>
      <c r="G17" s="3"/>
      <c r="H17" s="3"/>
      <c r="I17" s="3"/>
      <c r="J17" s="3"/>
      <c r="K17" s="3"/>
      <c r="L17" s="2"/>
    </row>
    <row r="18" spans="1:12" ht="15.75" customHeight="1">
      <c r="A18" s="3"/>
      <c r="B18" s="1827">
        <v>1</v>
      </c>
      <c r="C18" s="1827"/>
      <c r="D18" s="1827">
        <v>0.6</v>
      </c>
      <c r="E18" s="1827"/>
      <c r="F18" s="3"/>
      <c r="G18" s="3"/>
      <c r="H18" s="3"/>
      <c r="I18" s="3"/>
      <c r="J18" s="3"/>
      <c r="K18" s="3"/>
      <c r="L18" s="2"/>
    </row>
    <row r="19" spans="1:12" ht="15.75" customHeight="1">
      <c r="A19" s="3"/>
      <c r="B19" s="1827">
        <v>2</v>
      </c>
      <c r="C19" s="1827"/>
      <c r="D19" s="1827">
        <v>0.3</v>
      </c>
      <c r="E19" s="1827"/>
      <c r="F19" s="3"/>
      <c r="G19" s="3"/>
      <c r="H19" s="3"/>
      <c r="I19" s="3"/>
      <c r="J19" s="3"/>
      <c r="K19" s="3"/>
      <c r="L19" s="2"/>
    </row>
    <row r="20" spans="1:12" ht="15.75" customHeight="1">
      <c r="A20" s="3"/>
      <c r="B20" s="1827">
        <v>3</v>
      </c>
      <c r="C20" s="1827"/>
      <c r="D20" s="1827">
        <v>0.1</v>
      </c>
      <c r="E20" s="1827"/>
      <c r="F20" s="3"/>
      <c r="G20" s="3"/>
      <c r="H20" s="3"/>
      <c r="I20" s="3"/>
      <c r="J20" s="3"/>
      <c r="K20" s="3"/>
      <c r="L20" s="2"/>
    </row>
    <row r="21" spans="1:12" ht="15.75" customHeight="1">
      <c r="A21" s="3"/>
      <c r="B21" s="162"/>
      <c r="C21" s="1260"/>
      <c r="D21" s="1225"/>
      <c r="E21" s="3"/>
      <c r="F21" s="3"/>
      <c r="G21" s="3"/>
      <c r="H21" s="3"/>
      <c r="I21" s="3"/>
      <c r="J21" s="3"/>
      <c r="K21" s="3"/>
      <c r="L21" s="2"/>
    </row>
    <row r="22" spans="1:12" ht="15.75" customHeight="1">
      <c r="A22" s="3" t="s">
        <v>1955</v>
      </c>
      <c r="B22" s="162"/>
      <c r="C22" s="1260"/>
      <c r="D22" s="1225"/>
      <c r="E22" s="3"/>
      <c r="F22" s="3"/>
      <c r="G22" s="3"/>
      <c r="H22" s="3"/>
      <c r="I22" s="3"/>
      <c r="J22" s="3"/>
      <c r="K22" s="3"/>
      <c r="L22" s="2"/>
    </row>
    <row r="23" spans="1:12" ht="15.75" customHeight="1">
      <c r="A23" s="3"/>
      <c r="B23" s="162"/>
      <c r="C23" s="1260"/>
      <c r="D23" s="1225"/>
      <c r="E23" s="3"/>
      <c r="F23" s="3"/>
      <c r="G23" s="3"/>
      <c r="H23" s="3"/>
      <c r="I23" s="3"/>
      <c r="J23" s="3"/>
      <c r="K23" s="3"/>
      <c r="L23" s="2"/>
    </row>
    <row r="24" spans="1:12" ht="15.75" customHeight="1">
      <c r="A24" s="3" t="s">
        <v>2049</v>
      </c>
      <c r="B24" s="162"/>
      <c r="C24" s="1260"/>
      <c r="D24" s="1225"/>
      <c r="E24" s="3"/>
      <c r="F24" s="3"/>
      <c r="G24" s="3"/>
      <c r="H24" s="3"/>
      <c r="I24" s="3"/>
      <c r="J24" s="3"/>
      <c r="K24" s="3"/>
      <c r="L24" s="2"/>
    </row>
    <row r="25" spans="1:12" ht="15.75" customHeight="1">
      <c r="A25" s="3"/>
      <c r="B25" s="162"/>
      <c r="C25" s="1260"/>
      <c r="D25" s="1225"/>
      <c r="E25" s="3"/>
      <c r="F25" s="3"/>
      <c r="G25" s="3"/>
      <c r="H25" s="3"/>
      <c r="I25" s="3"/>
      <c r="J25" s="3"/>
      <c r="K25" s="3"/>
      <c r="L25" s="2"/>
    </row>
    <row r="26" spans="1:12" ht="15.75" customHeight="1">
      <c r="A26" s="3"/>
      <c r="B26" s="1805" t="s">
        <v>2048</v>
      </c>
      <c r="C26" s="1807"/>
      <c r="D26" s="1805" t="s">
        <v>1952</v>
      </c>
      <c r="E26" s="1807"/>
      <c r="F26" s="3"/>
      <c r="G26" s="3"/>
      <c r="H26" s="3"/>
      <c r="I26" s="3"/>
      <c r="J26" s="3"/>
      <c r="K26" s="3"/>
      <c r="L26" s="2"/>
    </row>
    <row r="27" spans="1:12" ht="15.75" customHeight="1">
      <c r="A27" s="3"/>
      <c r="B27" s="1808"/>
      <c r="C27" s="1810"/>
      <c r="D27" s="1808"/>
      <c r="E27" s="1810"/>
      <c r="F27" s="3"/>
      <c r="G27" s="3"/>
      <c r="H27" s="3"/>
      <c r="I27" s="3"/>
      <c r="J27" s="3"/>
      <c r="K27" s="3"/>
      <c r="L27" s="2"/>
    </row>
    <row r="28" spans="1:12" ht="15.75" customHeight="1">
      <c r="A28" s="3"/>
      <c r="B28" s="1918">
        <v>0</v>
      </c>
      <c r="C28" s="1919"/>
      <c r="D28" s="1920">
        <v>0.5</v>
      </c>
      <c r="E28" s="1921"/>
      <c r="F28" s="3"/>
      <c r="G28" s="3"/>
      <c r="H28" s="3"/>
      <c r="I28" s="3"/>
      <c r="J28" s="3"/>
      <c r="K28" s="3"/>
      <c r="L28" s="2"/>
    </row>
    <row r="29" spans="1:12" ht="15.75" customHeight="1">
      <c r="A29" s="3"/>
      <c r="B29" s="1918">
        <v>1</v>
      </c>
      <c r="C29" s="1919"/>
      <c r="D29" s="1920">
        <v>0.15</v>
      </c>
      <c r="E29" s="1921"/>
      <c r="F29" s="3"/>
      <c r="G29" s="3"/>
      <c r="H29" s="3"/>
      <c r="I29" s="3"/>
      <c r="J29" s="3"/>
      <c r="K29" s="3"/>
      <c r="L29" s="2"/>
    </row>
    <row r="30" spans="1:12" ht="15.75" customHeight="1">
      <c r="A30" s="3"/>
      <c r="B30" s="1918">
        <v>2</v>
      </c>
      <c r="C30" s="1919"/>
      <c r="D30" s="1920">
        <v>0.12</v>
      </c>
      <c r="E30" s="1921"/>
      <c r="F30" s="3"/>
      <c r="G30" s="3"/>
      <c r="H30" s="3"/>
      <c r="I30" s="3"/>
      <c r="J30" s="3"/>
      <c r="K30" s="3"/>
      <c r="L30" s="2"/>
    </row>
    <row r="31" spans="1:12" ht="15.75" customHeight="1">
      <c r="A31" s="3"/>
      <c r="B31" s="1918">
        <v>3</v>
      </c>
      <c r="C31" s="1919"/>
      <c r="D31" s="1920">
        <v>8.3500000000000005E-2</v>
      </c>
      <c r="E31" s="1921"/>
      <c r="F31" s="3"/>
      <c r="G31" s="3"/>
      <c r="H31" s="3"/>
      <c r="I31" s="3"/>
      <c r="J31" s="3"/>
      <c r="K31" s="3"/>
      <c r="L31" s="2"/>
    </row>
    <row r="32" spans="1:12" ht="15.75" customHeight="1">
      <c r="A32" s="3"/>
      <c r="B32" s="1918">
        <v>4</v>
      </c>
      <c r="C32" s="1919"/>
      <c r="D32" s="1920">
        <v>5.0549999999999998E-2</v>
      </c>
      <c r="E32" s="1921"/>
      <c r="F32" s="3"/>
      <c r="G32" s="3"/>
      <c r="H32" s="3"/>
      <c r="I32" s="3"/>
      <c r="J32" s="3"/>
      <c r="K32" s="3"/>
      <c r="L32" s="2"/>
    </row>
    <row r="33" spans="1:12" ht="15.75" customHeight="1">
      <c r="A33" s="3"/>
      <c r="B33" s="679"/>
      <c r="C33" s="1226"/>
      <c r="D33" s="1225"/>
      <c r="E33" s="3"/>
      <c r="F33" s="3"/>
      <c r="G33" s="3"/>
      <c r="H33" s="3"/>
      <c r="I33" s="3"/>
      <c r="J33" s="3"/>
      <c r="K33" s="3"/>
      <c r="L33" s="2"/>
    </row>
    <row r="34" spans="1:12" ht="15.75" customHeight="1">
      <c r="A34" s="3" t="s">
        <v>80</v>
      </c>
      <c r="B34" s="3" t="s">
        <v>2047</v>
      </c>
      <c r="C34" s="3"/>
      <c r="D34" s="3"/>
      <c r="E34" s="3"/>
      <c r="F34" s="3"/>
      <c r="G34" s="3"/>
      <c r="H34" s="3"/>
      <c r="I34" s="3"/>
      <c r="J34" s="3"/>
      <c r="K34" s="3"/>
      <c r="L34" s="2"/>
    </row>
    <row r="35" spans="1:12" ht="15.75" customHeight="1">
      <c r="A35" s="5"/>
      <c r="B35" s="5" t="s">
        <v>64</v>
      </c>
      <c r="C35" s="5"/>
      <c r="D35" s="4"/>
      <c r="E35" s="4"/>
      <c r="F35" s="4"/>
      <c r="G35" s="4"/>
      <c r="H35" s="3"/>
      <c r="I35" s="3"/>
      <c r="J35" s="2"/>
      <c r="K35" s="3"/>
      <c r="L35" s="2"/>
    </row>
    <row r="36" spans="1:12" ht="15.75" customHeight="1">
      <c r="A36"/>
      <c r="B36" s="1238" t="s">
        <v>2046</v>
      </c>
      <c r="C36" s="1255"/>
      <c r="D36" s="1255"/>
      <c r="E36"/>
      <c r="F36"/>
      <c r="G36"/>
      <c r="H36"/>
      <c r="I36"/>
      <c r="J36"/>
      <c r="K36"/>
      <c r="L36"/>
    </row>
    <row r="37" spans="1:12" ht="15.75" customHeight="1">
      <c r="A37"/>
      <c r="B37"/>
      <c r="C37"/>
      <c r="D37"/>
      <c r="E37"/>
      <c r="F37"/>
      <c r="G37"/>
      <c r="H37"/>
      <c r="I37"/>
      <c r="J37"/>
      <c r="K37"/>
      <c r="L37"/>
    </row>
    <row r="38" spans="1:12" ht="15.75" customHeight="1">
      <c r="A38" s="1259" t="s">
        <v>2045</v>
      </c>
      <c r="B38" s="1258"/>
      <c r="C38" s="1257">
        <f>0.5*(D18*D32+D19*D31+D20*D30)</f>
        <v>3.3689999999999998E-2</v>
      </c>
      <c r="D38"/>
      <c r="E38"/>
      <c r="F38" s="86"/>
      <c r="G38" s="1256"/>
      <c r="H38" s="1256"/>
      <c r="I38" s="86"/>
      <c r="J38" s="86"/>
      <c r="K38"/>
      <c r="L38"/>
    </row>
    <row r="39" spans="1:12" ht="15.75" customHeight="1">
      <c r="A39" s="1255"/>
      <c r="B39"/>
      <c r="C39" s="86"/>
      <c r="D39"/>
      <c r="E39"/>
      <c r="F39" s="1254"/>
      <c r="G39" s="1253"/>
      <c r="H39" s="1253"/>
      <c r="I39" s="86"/>
      <c r="J39" s="86"/>
      <c r="K39"/>
      <c r="L39"/>
    </row>
    <row r="40" spans="1:12" ht="15.75" customHeight="1">
      <c r="A40" s="1238" t="s">
        <v>2044</v>
      </c>
      <c r="B40"/>
      <c r="C40"/>
      <c r="D40"/>
      <c r="E40"/>
      <c r="F40"/>
      <c r="G40"/>
      <c r="H40"/>
      <c r="I40"/>
      <c r="J40"/>
      <c r="K40"/>
      <c r="L40"/>
    </row>
    <row r="41" spans="1:12" ht="15.75" customHeight="1">
      <c r="B41"/>
      <c r="C41"/>
      <c r="D41"/>
      <c r="E41"/>
      <c r="F41"/>
      <c r="G41"/>
      <c r="H41"/>
      <c r="I41"/>
      <c r="J41"/>
      <c r="K41"/>
      <c r="L41"/>
    </row>
    <row r="42" spans="1:12" ht="15.75" customHeight="1">
      <c r="A42" s="1252"/>
      <c r="B42" s="1250"/>
      <c r="C42" s="1250"/>
      <c r="D42" s="1250"/>
      <c r="E42" s="1251" t="s">
        <v>2043</v>
      </c>
      <c r="F42" s="1250" t="s">
        <v>2042</v>
      </c>
      <c r="G42" s="1250" t="s">
        <v>2042</v>
      </c>
      <c r="H42" s="1250" t="s">
        <v>2041</v>
      </c>
      <c r="I42" s="1249" t="s">
        <v>2040</v>
      </c>
      <c r="J42"/>
      <c r="K42"/>
      <c r="L42"/>
    </row>
    <row r="43" spans="1:12" ht="15.75" customHeight="1">
      <c r="A43" s="1248"/>
      <c r="B43"/>
      <c r="C43"/>
      <c r="D43"/>
      <c r="E43" s="1248" t="s">
        <v>2039</v>
      </c>
      <c r="F43" t="s">
        <v>2038</v>
      </c>
      <c r="G43" t="s">
        <v>2037</v>
      </c>
      <c r="H43" t="s">
        <v>2036</v>
      </c>
      <c r="I43" s="1247" t="s">
        <v>2035</v>
      </c>
      <c r="J43" s="1241"/>
      <c r="K43" s="1241"/>
      <c r="L43"/>
    </row>
    <row r="44" spans="1:12" ht="15.75" customHeight="1">
      <c r="A44" s="1246" t="s">
        <v>2034</v>
      </c>
      <c r="B44" s="1243"/>
      <c r="C44" s="1245">
        <f>SUM(E44:I44)</f>
        <v>3.3690000000000005E-2</v>
      </c>
      <c r="D44" s="1243"/>
      <c r="E44" s="1244">
        <f>0.5^3*$D19*$D20*2</f>
        <v>7.4999999999999997E-3</v>
      </c>
      <c r="F44" s="1243">
        <f>0.5^4*$D18^2*$D20*3</f>
        <v>6.7499999999999991E-3</v>
      </c>
      <c r="G44" s="1243">
        <f>0.5^4*$D18*$D19^2*3</f>
        <v>1.0125E-2</v>
      </c>
      <c r="H44" s="1243">
        <f>0.5^5*$D18^3*$D19*4</f>
        <v>8.0999999999999996E-3</v>
      </c>
      <c r="I44" s="1242">
        <f>0.5^6*$D18^5</f>
        <v>1.2149999999999999E-3</v>
      </c>
      <c r="J44"/>
      <c r="K44"/>
      <c r="L44"/>
    </row>
    <row r="45" spans="1:12" ht="15.75" customHeight="1">
      <c r="A45"/>
      <c r="B45"/>
      <c r="C45" s="1241"/>
      <c r="D45"/>
      <c r="E45" s="1241"/>
      <c r="F45" s="1241"/>
      <c r="G45" s="1241"/>
      <c r="H45" s="1241"/>
      <c r="I45" s="1241"/>
      <c r="J45"/>
      <c r="K45"/>
      <c r="L45"/>
    </row>
    <row r="46" spans="1:12" ht="15.75" customHeight="1">
      <c r="A46" s="3" t="s">
        <v>9</v>
      </c>
      <c r="B46" s="3" t="s">
        <v>2033</v>
      </c>
      <c r="C46" s="3"/>
      <c r="D46" s="3"/>
      <c r="E46" s="3"/>
      <c r="F46" s="3"/>
      <c r="G46" s="3"/>
      <c r="H46" s="3"/>
      <c r="I46" s="3"/>
      <c r="J46" s="3"/>
      <c r="K46" s="3"/>
      <c r="L46" s="2"/>
    </row>
    <row r="47" spans="1:12" ht="15.75" customHeight="1">
      <c r="A47" s="5"/>
      <c r="B47" s="5" t="s">
        <v>64</v>
      </c>
      <c r="C47" s="5"/>
      <c r="D47" s="4"/>
      <c r="E47" s="4"/>
      <c r="F47" s="4"/>
      <c r="G47" s="4"/>
      <c r="H47" s="3"/>
      <c r="I47" s="3"/>
      <c r="J47" s="2"/>
      <c r="K47" s="3"/>
      <c r="L47" s="2"/>
    </row>
    <row r="48" spans="1:12" customFormat="1" ht="15.75" customHeight="1"/>
    <row r="49" spans="1:12" customFormat="1" ht="15.75" customHeight="1">
      <c r="C49" t="s">
        <v>149</v>
      </c>
      <c r="D49" t="s">
        <v>2032</v>
      </c>
      <c r="E49" t="s">
        <v>2031</v>
      </c>
      <c r="F49" t="s">
        <v>2030</v>
      </c>
    </row>
    <row r="50" spans="1:12" customFormat="1" ht="15.75" customHeight="1">
      <c r="C50" s="125">
        <f>B18</f>
        <v>1</v>
      </c>
      <c r="D50" s="125">
        <f>D18</f>
        <v>0.6</v>
      </c>
      <c r="E50" s="125">
        <f>C50*D50</f>
        <v>0.6</v>
      </c>
      <c r="F50" s="125">
        <f>C50^2*D50</f>
        <v>0.6</v>
      </c>
    </row>
    <row r="51" spans="1:12" customFormat="1" ht="15.75" customHeight="1">
      <c r="C51" s="125">
        <f>B19</f>
        <v>2</v>
      </c>
      <c r="D51" s="125">
        <f>D19</f>
        <v>0.3</v>
      </c>
      <c r="E51" s="125">
        <f>C51*D51</f>
        <v>0.6</v>
      </c>
      <c r="F51" s="125">
        <f>C51^2*D51</f>
        <v>1.2</v>
      </c>
    </row>
    <row r="52" spans="1:12" customFormat="1" ht="15.75" customHeight="1">
      <c r="C52" s="125">
        <f>B20</f>
        <v>3</v>
      </c>
      <c r="D52" s="125">
        <f>D20</f>
        <v>0.1</v>
      </c>
      <c r="E52" s="125">
        <f>C52*D52</f>
        <v>0.30000000000000004</v>
      </c>
      <c r="F52" s="125">
        <f>C52^2*D52</f>
        <v>0.9</v>
      </c>
    </row>
    <row r="53" spans="1:12" customFormat="1" ht="15.75" customHeight="1">
      <c r="C53" t="s">
        <v>98</v>
      </c>
      <c r="E53">
        <f>SUM(E50:E52)</f>
        <v>1.5</v>
      </c>
      <c r="F53">
        <f>SUM(F50:F52)</f>
        <v>2.6999999999999997</v>
      </c>
    </row>
    <row r="54" spans="1:12" customFormat="1" ht="15.75" customHeight="1"/>
    <row r="55" spans="1:12" customFormat="1" ht="15.75" customHeight="1">
      <c r="C55" t="s">
        <v>2029</v>
      </c>
      <c r="D55">
        <f>E53</f>
        <v>1.5</v>
      </c>
    </row>
    <row r="56" spans="1:12" customFormat="1" ht="15.75" customHeight="1">
      <c r="C56" t="s">
        <v>2028</v>
      </c>
      <c r="D56">
        <f>F53-E53^2</f>
        <v>0.44999999999999973</v>
      </c>
    </row>
    <row r="57" spans="1:12" customFormat="1" ht="15.75" customHeight="1"/>
    <row r="58" spans="1:12" customFormat="1" ht="15.75" customHeight="1">
      <c r="C58" t="s">
        <v>2027</v>
      </c>
      <c r="D58" s="1240">
        <f>B10*D55</f>
        <v>1.5</v>
      </c>
      <c r="E58" s="86"/>
    </row>
    <row r="59" spans="1:12" customFormat="1" ht="15.75" customHeight="1">
      <c r="C59" t="s">
        <v>2026</v>
      </c>
      <c r="D59">
        <f>B10*D56+B11*D55^2</f>
        <v>4.9499999999999993</v>
      </c>
      <c r="E59" s="86"/>
    </row>
    <row r="60" spans="1:12" customFormat="1" ht="15.75" customHeight="1">
      <c r="C60" t="s">
        <v>2025</v>
      </c>
      <c r="D60" s="1239">
        <f>D59^0.5/D58</f>
        <v>1.4832396974191324</v>
      </c>
      <c r="E60" s="86"/>
    </row>
    <row r="61" spans="1:12" customFormat="1" ht="15.75" customHeight="1"/>
    <row r="62" spans="1:12" ht="15.75" customHeight="1">
      <c r="A62" s="3" t="s">
        <v>7</v>
      </c>
      <c r="B62" s="3" t="s">
        <v>2024</v>
      </c>
      <c r="C62" s="3"/>
      <c r="D62" s="3"/>
      <c r="E62" s="3"/>
      <c r="F62" s="3"/>
      <c r="G62" s="3"/>
      <c r="H62" s="3"/>
      <c r="I62" s="3"/>
      <c r="J62" s="3"/>
      <c r="K62" s="3"/>
      <c r="L62" s="2"/>
    </row>
    <row r="63" spans="1:12" ht="15.75" customHeight="1">
      <c r="A63" s="5"/>
      <c r="B63" s="5" t="s">
        <v>64</v>
      </c>
      <c r="C63" s="5"/>
      <c r="D63" s="4"/>
      <c r="E63" s="4"/>
      <c r="F63" s="4"/>
      <c r="G63" s="4"/>
      <c r="H63" s="3"/>
      <c r="I63" s="3"/>
      <c r="J63" s="2"/>
      <c r="K63" s="3"/>
      <c r="L63" s="2"/>
    </row>
    <row r="64" spans="1:12" customFormat="1" ht="15.75" customHeight="1">
      <c r="B64" s="1238" t="s">
        <v>2023</v>
      </c>
    </row>
    <row r="65" spans="2:2" customFormat="1" ht="15.75" customHeight="1"/>
    <row r="66" spans="2:2" customFormat="1" ht="15.75" customHeight="1">
      <c r="B66" s="87" t="s">
        <v>2022</v>
      </c>
    </row>
    <row r="67" spans="2:2" customFormat="1" ht="15.75" customHeight="1">
      <c r="B67" s="87" t="s">
        <v>2021</v>
      </c>
    </row>
    <row r="68" spans="2:2" customFormat="1" ht="15.75" customHeight="1">
      <c r="B68" s="87"/>
    </row>
    <row r="69" spans="2:2" customFormat="1" ht="15.75" customHeight="1"/>
    <row r="70" spans="2:2" customFormat="1" ht="15.75" customHeight="1"/>
    <row r="71" spans="2:2" customFormat="1" ht="15.75" customHeight="1"/>
    <row r="72" spans="2:2" customFormat="1" ht="15.75" customHeight="1"/>
    <row r="73" spans="2:2" customFormat="1" ht="15.75" customHeight="1"/>
    <row r="74" spans="2:2" customFormat="1" ht="15.75" customHeight="1"/>
    <row r="75" spans="2:2" customFormat="1" ht="15.75" customHeight="1"/>
    <row r="76" spans="2:2" customFormat="1" ht="15.75" customHeight="1"/>
    <row r="77" spans="2:2" customFormat="1" ht="15.75" customHeight="1"/>
    <row r="78" spans="2:2" customFormat="1" ht="15.75" customHeight="1"/>
    <row r="79" spans="2:2" customFormat="1" ht="15.75" customHeight="1"/>
    <row r="80" spans="2:2" customFormat="1" ht="15.75" customHeight="1"/>
    <row r="81" customFormat="1" ht="15.75" customHeight="1"/>
    <row r="82" customFormat="1" ht="15.75" customHeight="1"/>
    <row r="83" customFormat="1" ht="15.75" customHeight="1"/>
    <row r="84" customFormat="1" ht="15.75" customHeight="1"/>
    <row r="85" customFormat="1" ht="15.75" customHeight="1"/>
    <row r="86" customFormat="1" ht="15.75" customHeight="1"/>
    <row r="87" customFormat="1" ht="15.75" customHeight="1"/>
    <row r="88" customFormat="1" ht="15.75" customHeight="1"/>
    <row r="89" customFormat="1" ht="15.75" customHeight="1"/>
    <row r="90" customFormat="1" ht="15.75" customHeight="1"/>
    <row r="91" customFormat="1" ht="15.75" customHeight="1"/>
    <row r="92" customFormat="1" ht="15.75" customHeight="1"/>
    <row r="93" customFormat="1" ht="15.75" customHeight="1"/>
    <row r="94" customFormat="1" ht="15.75" customHeight="1"/>
    <row r="95" customFormat="1" ht="15.75" customHeight="1"/>
    <row r="96" customFormat="1" ht="15.75" customHeight="1"/>
    <row r="97" customFormat="1" ht="15.75" customHeight="1"/>
    <row r="98" customFormat="1" ht="15.75" customHeight="1"/>
    <row r="99" customFormat="1" ht="15.75" customHeight="1"/>
    <row r="100" customFormat="1" ht="15.75" customHeight="1"/>
    <row r="101" customFormat="1" ht="15.75" customHeight="1"/>
    <row r="102" customFormat="1" ht="15.75" customHeight="1"/>
    <row r="103" customFormat="1" ht="15.75" customHeight="1"/>
    <row r="104" customFormat="1" ht="15.75" customHeight="1"/>
    <row r="105" customFormat="1" ht="15.75" customHeight="1"/>
    <row r="106" customFormat="1" ht="15.75" customHeight="1"/>
    <row r="107" customFormat="1" ht="15.75" customHeight="1"/>
    <row r="108" customFormat="1" ht="15.75" customHeight="1"/>
    <row r="109" customFormat="1" ht="15.75" customHeight="1"/>
    <row r="110" customFormat="1" ht="15.75" customHeight="1"/>
    <row r="111" customFormat="1" ht="15.75" customHeight="1"/>
    <row r="112" customFormat="1" ht="15.75" customHeight="1"/>
    <row r="113" customFormat="1" ht="15.75" customHeight="1"/>
    <row r="114" customFormat="1" ht="15.75" customHeight="1"/>
    <row r="115" customFormat="1" ht="15.75" customHeight="1"/>
    <row r="116" customFormat="1" ht="15.75" customHeight="1"/>
    <row r="117" customFormat="1" ht="15.75" customHeight="1"/>
    <row r="118" customFormat="1" ht="15.75" customHeight="1"/>
    <row r="119" customFormat="1" ht="15.75" customHeight="1"/>
    <row r="120" customFormat="1" ht="15.75" customHeight="1"/>
    <row r="121" customFormat="1" ht="15.75" customHeight="1"/>
    <row r="122" customFormat="1" ht="15.75" customHeight="1"/>
    <row r="123" customFormat="1" ht="15.75" customHeight="1"/>
    <row r="124" customFormat="1" ht="15.75" customHeight="1"/>
    <row r="125" customFormat="1" ht="15.75" customHeight="1"/>
    <row r="126" customFormat="1" ht="15.75" customHeight="1"/>
    <row r="127" customFormat="1" ht="15.75" customHeight="1"/>
    <row r="128" customFormat="1" ht="15.75" customHeight="1"/>
    <row r="129" customFormat="1" ht="15.75" customHeight="1"/>
    <row r="130" customFormat="1" ht="15.75" customHeight="1"/>
    <row r="131" customFormat="1" ht="15.75" customHeight="1"/>
    <row r="132" customFormat="1" ht="15.75" customHeight="1"/>
    <row r="133" customFormat="1" ht="15.75" customHeight="1"/>
    <row r="134" customFormat="1" ht="15.75" customHeight="1"/>
    <row r="135" customFormat="1" ht="15.75" customHeight="1"/>
    <row r="136" customFormat="1" ht="15.75" customHeight="1"/>
    <row r="137" customFormat="1" ht="15.75" customHeight="1"/>
    <row r="138" customFormat="1" ht="15.75" customHeight="1"/>
    <row r="139" customFormat="1" ht="15.75" customHeight="1"/>
    <row r="140" customFormat="1" ht="15.75" customHeight="1"/>
    <row r="141" customFormat="1" ht="15.75" customHeight="1"/>
    <row r="142" customFormat="1" ht="15.75" customHeight="1"/>
    <row r="143" customFormat="1" ht="15.75" customHeight="1"/>
    <row r="144" customFormat="1" ht="15.75" customHeight="1"/>
    <row r="145" customFormat="1" ht="15.75" customHeight="1"/>
    <row r="146" customFormat="1" ht="15.75" customHeight="1"/>
    <row r="147" customFormat="1" ht="15.75" customHeight="1"/>
    <row r="148" customFormat="1" ht="15.75" customHeight="1"/>
    <row r="149" customFormat="1" ht="15.75" customHeight="1"/>
    <row r="150" customFormat="1" ht="15.75" customHeight="1"/>
    <row r="151" customFormat="1" ht="15.75" customHeight="1"/>
    <row r="152" customFormat="1" ht="15.75" customHeight="1"/>
    <row r="153" customFormat="1" ht="15.75" customHeight="1"/>
    <row r="154" customFormat="1" ht="15.75" customHeight="1"/>
    <row r="155" customFormat="1" ht="15.75" customHeight="1"/>
    <row r="156" customFormat="1" ht="15.75" customHeight="1"/>
    <row r="157" customFormat="1" ht="15.75" customHeight="1"/>
    <row r="158" customFormat="1" ht="15.75" customHeight="1"/>
    <row r="159" customFormat="1" ht="15.75" customHeight="1"/>
    <row r="160" customFormat="1" ht="15.75" customHeight="1"/>
    <row r="161" customFormat="1" ht="15.75" customHeight="1"/>
    <row r="162" customFormat="1" ht="15.75" customHeight="1"/>
    <row r="163" customFormat="1" ht="15.75" customHeight="1"/>
    <row r="164" customFormat="1" ht="15.75" customHeight="1"/>
    <row r="165" customFormat="1" ht="15.75" customHeight="1"/>
    <row r="166" customFormat="1" ht="15.75" customHeight="1"/>
    <row r="167" customFormat="1" ht="15.75" customHeight="1"/>
    <row r="168" customFormat="1" ht="15.75" customHeight="1"/>
    <row r="169" customFormat="1" ht="15.75" customHeight="1"/>
    <row r="170" customFormat="1" ht="15.75" customHeight="1"/>
    <row r="171" customFormat="1" ht="15.75" customHeight="1"/>
    <row r="172" customFormat="1" ht="15.75" customHeight="1"/>
    <row r="173" customFormat="1" ht="15.75" customHeight="1"/>
    <row r="174" customFormat="1" ht="15.75" customHeight="1"/>
    <row r="175" customFormat="1" ht="15.75" customHeight="1"/>
    <row r="176" customFormat="1" ht="15.75" customHeight="1"/>
    <row r="177" customFormat="1" ht="15.75" customHeight="1"/>
    <row r="178" customFormat="1" ht="15.75" customHeight="1"/>
    <row r="179" customFormat="1" ht="15.75" customHeight="1"/>
    <row r="180" customFormat="1" ht="15.75" customHeight="1"/>
    <row r="181" customFormat="1" ht="15.75" customHeight="1"/>
    <row r="182" customFormat="1" ht="15.75" customHeight="1"/>
    <row r="183" customFormat="1" ht="15.75" customHeight="1"/>
    <row r="184" customFormat="1" ht="15.75" customHeight="1"/>
    <row r="185" customFormat="1" ht="15.75" customHeight="1"/>
    <row r="186" customFormat="1" ht="15.75" customHeight="1"/>
    <row r="187" customFormat="1" ht="15.75" customHeight="1"/>
    <row r="188" customFormat="1" ht="15.75" customHeight="1"/>
    <row r="189" customFormat="1" ht="15.75" customHeight="1"/>
    <row r="190" customFormat="1" ht="15.75" customHeight="1"/>
    <row r="191" customFormat="1" ht="15.75" customHeight="1"/>
    <row r="192" customFormat="1" ht="15.75" customHeight="1"/>
    <row r="193" customFormat="1" ht="15.75" customHeight="1"/>
    <row r="194" customFormat="1" ht="15.75" customHeight="1"/>
    <row r="195" customFormat="1" ht="15.75" customHeight="1"/>
    <row r="196" customFormat="1" ht="15.75" customHeight="1"/>
    <row r="197" customFormat="1" ht="15.75" customHeight="1"/>
    <row r="198" customFormat="1" ht="15.75" customHeight="1"/>
    <row r="199" customFormat="1" ht="15.75" customHeight="1"/>
    <row r="200" customFormat="1" ht="15.75" customHeight="1"/>
    <row r="201" customFormat="1" ht="15.75" customHeight="1"/>
    <row r="202" customFormat="1" ht="15.75" customHeight="1"/>
    <row r="203" customFormat="1" ht="15.75" customHeight="1"/>
    <row r="204" customFormat="1" ht="15.75" customHeight="1"/>
    <row r="205" customFormat="1" ht="15.75" customHeight="1"/>
    <row r="206" customFormat="1" ht="15.75" customHeight="1"/>
    <row r="207" customFormat="1" ht="15.75" customHeight="1"/>
    <row r="208" customFormat="1" ht="15.75" customHeight="1"/>
    <row r="209" spans="1:12" customFormat="1" ht="15.75" customHeight="1"/>
    <row r="210" spans="1:12" customFormat="1" ht="15.75" customHeight="1"/>
    <row r="211" spans="1:12" customFormat="1" ht="15.75" customHeight="1"/>
    <row r="212" spans="1:12" customFormat="1" ht="15.75" customHeight="1"/>
    <row r="213" spans="1:12" customFormat="1" ht="15.75" customHeight="1"/>
    <row r="214" spans="1:12" customFormat="1" ht="15.75" customHeight="1"/>
    <row r="215" spans="1:12" ht="15.75" customHeight="1">
      <c r="A215"/>
      <c r="B215"/>
      <c r="C215"/>
      <c r="D215"/>
      <c r="E215"/>
      <c r="F215"/>
      <c r="G215"/>
      <c r="H215"/>
      <c r="I215"/>
      <c r="J215"/>
      <c r="K215"/>
      <c r="L215"/>
    </row>
    <row r="216" spans="1:12" ht="15.75" customHeight="1">
      <c r="A216"/>
      <c r="B216"/>
      <c r="C216"/>
      <c r="D216"/>
      <c r="E216"/>
      <c r="F216"/>
      <c r="G216"/>
      <c r="H216"/>
      <c r="I216"/>
      <c r="J216"/>
      <c r="K216"/>
      <c r="L216"/>
    </row>
    <row r="217" spans="1:12" ht="15.75" customHeight="1">
      <c r="A217"/>
      <c r="B217"/>
      <c r="C217"/>
      <c r="D217"/>
      <c r="E217"/>
      <c r="F217"/>
      <c r="G217"/>
      <c r="H217"/>
      <c r="I217"/>
      <c r="J217"/>
      <c r="K217"/>
      <c r="L217"/>
    </row>
    <row r="218" spans="1:12" ht="15.75" customHeight="1">
      <c r="A218"/>
      <c r="B218"/>
      <c r="C218"/>
      <c r="D218"/>
      <c r="E218"/>
      <c r="F218"/>
      <c r="G218"/>
      <c r="H218"/>
      <c r="I218"/>
      <c r="J218"/>
      <c r="K218"/>
      <c r="L218"/>
    </row>
  </sheetData>
  <mergeCells count="22">
    <mergeCell ref="A3:L3"/>
    <mergeCell ref="A4:L4"/>
    <mergeCell ref="B16:C17"/>
    <mergeCell ref="D16:E17"/>
    <mergeCell ref="B18:C18"/>
    <mergeCell ref="D18:E18"/>
    <mergeCell ref="B19:C19"/>
    <mergeCell ref="D19:E19"/>
    <mergeCell ref="B20:C20"/>
    <mergeCell ref="D20:E20"/>
    <mergeCell ref="B26:C27"/>
    <mergeCell ref="D26:E27"/>
    <mergeCell ref="B31:C31"/>
    <mergeCell ref="D31:E31"/>
    <mergeCell ref="B32:C32"/>
    <mergeCell ref="D32:E32"/>
    <mergeCell ref="B28:C28"/>
    <mergeCell ref="D28:E28"/>
    <mergeCell ref="B29:C29"/>
    <mergeCell ref="D29:E29"/>
    <mergeCell ref="B30:C30"/>
    <mergeCell ref="D30:E30"/>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A0BE-3157-4DA4-8D38-D755ABDEEABB}">
  <dimension ref="A1:BW266"/>
  <sheetViews>
    <sheetView zoomScaleNormal="100" workbookViewId="0"/>
  </sheetViews>
  <sheetFormatPr defaultColWidth="9.109375" defaultRowHeight="15.6"/>
  <cols>
    <col min="1" max="12" width="9.109375" style="1"/>
    <col min="13" max="13" width="9.109375" customWidth="1"/>
    <col min="76" max="16384" width="9.109375" style="1"/>
  </cols>
  <sheetData>
    <row r="1" spans="1:12" ht="15.75" customHeight="1">
      <c r="A1" s="23" t="s">
        <v>61</v>
      </c>
      <c r="B1" s="22"/>
      <c r="C1" s="5" t="s">
        <v>38</v>
      </c>
      <c r="D1" s="22"/>
      <c r="E1" s="22"/>
      <c r="F1" s="22"/>
      <c r="G1" s="22"/>
      <c r="H1" s="22"/>
      <c r="I1" s="22"/>
      <c r="J1" s="22"/>
      <c r="K1" s="22"/>
      <c r="L1" s="2"/>
    </row>
    <row r="2" spans="1:12" ht="15.75" customHeight="1">
      <c r="A2" s="138" t="s">
        <v>168</v>
      </c>
      <c r="B2" s="137"/>
      <c r="C2" s="137"/>
      <c r="D2" s="137"/>
      <c r="E2" s="137"/>
      <c r="F2" s="137"/>
      <c r="G2" s="21"/>
      <c r="H2" s="21"/>
      <c r="I2" s="136"/>
      <c r="J2" s="3"/>
      <c r="K2" s="3"/>
      <c r="L2" s="2"/>
    </row>
    <row r="3" spans="1:12" ht="30.75" customHeight="1">
      <c r="A3" s="1670" t="s">
        <v>167</v>
      </c>
      <c r="B3" s="1670"/>
      <c r="C3" s="1670"/>
      <c r="D3" s="1670"/>
      <c r="E3" s="1670"/>
      <c r="F3" s="1670"/>
      <c r="G3" s="1670"/>
      <c r="H3" s="1670"/>
      <c r="I3" s="1670"/>
      <c r="J3" s="1670"/>
      <c r="K3" s="1670"/>
      <c r="L3" s="1670"/>
    </row>
    <row r="4" spans="1:12" ht="15.75" customHeight="1">
      <c r="A4" s="21"/>
      <c r="B4" s="3"/>
      <c r="C4" s="3"/>
      <c r="D4" s="3"/>
      <c r="E4" s="3"/>
      <c r="F4" s="3"/>
      <c r="G4" s="3"/>
      <c r="H4" s="3"/>
      <c r="I4" s="3"/>
      <c r="J4" s="3"/>
      <c r="K4" s="3"/>
      <c r="L4" s="2"/>
    </row>
    <row r="5" spans="1:12" ht="15.75" customHeight="1">
      <c r="A5" s="3"/>
      <c r="B5" s="134"/>
      <c r="C5" s="1671" t="s">
        <v>49</v>
      </c>
      <c r="D5" s="1671"/>
      <c r="E5" s="1671"/>
      <c r="F5" s="1671"/>
      <c r="G5" s="1671"/>
      <c r="H5" s="1671"/>
      <c r="I5" s="1671"/>
      <c r="J5" s="3"/>
      <c r="K5" s="3"/>
      <c r="L5" s="2"/>
    </row>
    <row r="6" spans="1:12" ht="15.75" customHeight="1">
      <c r="A6" s="3"/>
      <c r="B6" s="134" t="s">
        <v>47</v>
      </c>
      <c r="C6" s="133">
        <v>1</v>
      </c>
      <c r="D6" s="133">
        <v>2</v>
      </c>
      <c r="E6" s="133">
        <v>3</v>
      </c>
      <c r="F6" s="133">
        <v>4</v>
      </c>
      <c r="G6" s="133">
        <v>5</v>
      </c>
      <c r="H6" s="133">
        <v>6</v>
      </c>
      <c r="I6" s="133">
        <v>7</v>
      </c>
      <c r="J6" s="3"/>
      <c r="K6" s="3"/>
      <c r="L6" s="2"/>
    </row>
    <row r="7" spans="1:12" ht="15.75" customHeight="1">
      <c r="A7" s="3"/>
      <c r="B7" s="133">
        <v>1</v>
      </c>
      <c r="C7" s="132">
        <v>6012</v>
      </c>
      <c r="D7" s="132">
        <v>8269</v>
      </c>
      <c r="E7" s="132">
        <v>11907</v>
      </c>
      <c r="F7" s="132">
        <v>12805</v>
      </c>
      <c r="G7" s="132">
        <v>15539</v>
      </c>
      <c r="H7" s="132">
        <v>17181</v>
      </c>
      <c r="I7" s="132">
        <v>20009</v>
      </c>
      <c r="J7" s="3"/>
      <c r="K7" s="3"/>
      <c r="L7" s="2"/>
    </row>
    <row r="8" spans="1:12" ht="15.75" customHeight="1">
      <c r="A8" s="3"/>
      <c r="B8" s="133">
        <v>2</v>
      </c>
      <c r="C8" s="131">
        <v>106</v>
      </c>
      <c r="D8" s="132">
        <v>5285</v>
      </c>
      <c r="E8" s="132">
        <v>5396</v>
      </c>
      <c r="F8" s="132">
        <v>11666</v>
      </c>
      <c r="G8" s="132">
        <v>13782</v>
      </c>
      <c r="H8" s="132">
        <v>16599</v>
      </c>
      <c r="I8" s="131"/>
      <c r="J8" s="3"/>
      <c r="K8" s="3"/>
      <c r="L8" s="2"/>
    </row>
    <row r="9" spans="1:12" ht="15.75" customHeight="1">
      <c r="A9" s="3"/>
      <c r="B9" s="133">
        <v>3</v>
      </c>
      <c r="C9" s="132">
        <v>4410</v>
      </c>
      <c r="D9" s="132">
        <v>8992</v>
      </c>
      <c r="E9" s="132">
        <v>14873</v>
      </c>
      <c r="F9" s="132">
        <v>16141</v>
      </c>
      <c r="G9" s="132">
        <v>19735</v>
      </c>
      <c r="H9" s="131"/>
      <c r="I9" s="131"/>
      <c r="J9" s="3"/>
      <c r="K9" s="3"/>
      <c r="L9" s="2"/>
    </row>
    <row r="10" spans="1:12" ht="15.75" customHeight="1">
      <c r="A10" s="3"/>
      <c r="B10" s="133">
        <v>4</v>
      </c>
      <c r="C10" s="132">
        <v>4655</v>
      </c>
      <c r="D10" s="132">
        <v>11555</v>
      </c>
      <c r="E10" s="132">
        <v>14766</v>
      </c>
      <c r="F10" s="132">
        <v>21266</v>
      </c>
      <c r="G10" s="131"/>
      <c r="H10" s="131"/>
      <c r="I10" s="131"/>
      <c r="J10" s="3"/>
      <c r="K10" s="3"/>
      <c r="L10" s="2"/>
    </row>
    <row r="11" spans="1:12" ht="15.75" customHeight="1">
      <c r="A11" s="3"/>
      <c r="B11" s="133">
        <v>5</v>
      </c>
      <c r="C11" s="132">
        <v>2092</v>
      </c>
      <c r="D11" s="132">
        <v>9565</v>
      </c>
      <c r="E11" s="132">
        <v>16836</v>
      </c>
      <c r="F11" s="131"/>
      <c r="G11" s="131"/>
      <c r="H11" s="131"/>
      <c r="I11" s="131"/>
      <c r="J11" s="3"/>
      <c r="K11" s="3"/>
      <c r="L11" s="2"/>
    </row>
    <row r="12" spans="1:12" ht="15.75" customHeight="1">
      <c r="A12" s="3"/>
      <c r="B12" s="133">
        <v>6</v>
      </c>
      <c r="C12" s="132">
        <v>513</v>
      </c>
      <c r="D12" s="132">
        <v>6445</v>
      </c>
      <c r="E12" s="131"/>
      <c r="F12" s="131"/>
      <c r="G12" s="131"/>
      <c r="H12" s="131"/>
      <c r="I12" s="131"/>
      <c r="J12" s="3"/>
      <c r="K12" s="3"/>
      <c r="L12" s="2"/>
    </row>
    <row r="13" spans="1:12" ht="15.75" customHeight="1">
      <c r="A13" s="3"/>
      <c r="B13" s="133">
        <v>7</v>
      </c>
      <c r="C13" s="132">
        <v>1557</v>
      </c>
      <c r="D13" s="131"/>
      <c r="E13" s="131"/>
      <c r="F13" s="131"/>
      <c r="G13" s="131"/>
      <c r="H13" s="131"/>
      <c r="I13" s="131"/>
      <c r="J13" s="3"/>
      <c r="K13" s="3"/>
      <c r="L13" s="2"/>
    </row>
    <row r="14" spans="1:12" ht="15.75" customHeight="1">
      <c r="A14" s="3"/>
      <c r="B14" s="3"/>
      <c r="C14" s="3"/>
      <c r="D14" s="3"/>
      <c r="E14" s="3"/>
      <c r="F14" s="3"/>
      <c r="G14" s="3"/>
      <c r="H14" s="3"/>
      <c r="I14" s="3"/>
      <c r="J14" s="3"/>
      <c r="K14" s="3"/>
      <c r="L14" s="2"/>
    </row>
    <row r="15" spans="1:12" ht="15.75" customHeight="1">
      <c r="A15" s="3" t="s">
        <v>80</v>
      </c>
      <c r="B15" s="3" t="s">
        <v>166</v>
      </c>
      <c r="C15" s="3"/>
      <c r="D15" s="3"/>
      <c r="E15" s="3"/>
      <c r="F15" s="3"/>
      <c r="G15" s="3"/>
      <c r="H15" s="3"/>
      <c r="I15" s="3"/>
      <c r="J15" s="3"/>
      <c r="K15" s="3"/>
      <c r="L15" s="2"/>
    </row>
    <row r="16" spans="1:12" ht="15.75" customHeight="1">
      <c r="A16" s="5"/>
      <c r="B16" s="5" t="s">
        <v>64</v>
      </c>
      <c r="C16" s="5"/>
      <c r="D16" s="4"/>
      <c r="E16" s="4"/>
      <c r="F16" s="4"/>
      <c r="G16" s="4"/>
      <c r="H16" s="3"/>
      <c r="I16" s="3"/>
      <c r="J16" s="2"/>
      <c r="K16" s="3"/>
      <c r="L16" s="2"/>
    </row>
    <row r="17" spans="1:12" ht="15.75" customHeight="1">
      <c r="A17"/>
      <c r="B17"/>
      <c r="C17"/>
      <c r="D17"/>
      <c r="E17"/>
      <c r="F17"/>
      <c r="G17"/>
      <c r="H17"/>
      <c r="I17"/>
      <c r="J17"/>
      <c r="K17"/>
      <c r="L17"/>
    </row>
    <row r="18" spans="1:12" ht="15.75" customHeight="1">
      <c r="A18" s="86"/>
      <c r="B18" s="130" t="s">
        <v>165</v>
      </c>
      <c r="C18"/>
      <c r="D18"/>
      <c r="E18"/>
      <c r="F18"/>
      <c r="G18"/>
      <c r="H18"/>
      <c r="I18"/>
      <c r="J18"/>
      <c r="K18"/>
      <c r="L18"/>
    </row>
    <row r="19" spans="1:12" ht="15.75" customHeight="1">
      <c r="A19"/>
      <c r="B19" s="130" t="s">
        <v>164</v>
      </c>
      <c r="C19"/>
      <c r="D19"/>
      <c r="E19"/>
      <c r="F19"/>
      <c r="G19"/>
      <c r="H19"/>
      <c r="I19"/>
      <c r="J19"/>
      <c r="K19"/>
      <c r="L19"/>
    </row>
    <row r="20" spans="1:12" ht="15.75" customHeight="1">
      <c r="A20"/>
      <c r="B20" s="130"/>
      <c r="C20"/>
      <c r="D20"/>
      <c r="E20"/>
      <c r="F20"/>
      <c r="G20"/>
      <c r="H20"/>
      <c r="I20"/>
      <c r="J20"/>
      <c r="K20"/>
      <c r="L20"/>
    </row>
    <row r="21" spans="1:12" ht="15.75" customHeight="1">
      <c r="A21" s="86"/>
      <c r="B21" s="130" t="s">
        <v>163</v>
      </c>
      <c r="C21"/>
      <c r="D21"/>
      <c r="E21"/>
      <c r="F21"/>
      <c r="G21"/>
      <c r="H21"/>
      <c r="I21"/>
      <c r="J21"/>
      <c r="K21"/>
      <c r="L21"/>
    </row>
    <row r="22" spans="1:12" ht="15.75" customHeight="1">
      <c r="A22"/>
      <c r="B22" s="130"/>
      <c r="C22"/>
      <c r="D22"/>
      <c r="E22"/>
      <c r="F22"/>
      <c r="G22"/>
      <c r="H22"/>
      <c r="I22"/>
      <c r="J22"/>
      <c r="K22"/>
      <c r="L22"/>
    </row>
    <row r="23" spans="1:12" ht="15.75" customHeight="1">
      <c r="A23" s="86"/>
      <c r="B23" s="130" t="s">
        <v>162</v>
      </c>
      <c r="C23"/>
      <c r="D23"/>
      <c r="E23"/>
      <c r="F23"/>
      <c r="G23"/>
      <c r="H23"/>
      <c r="I23"/>
      <c r="J23"/>
      <c r="K23"/>
      <c r="L23"/>
    </row>
    <row r="24" spans="1:12" ht="15.75" customHeight="1">
      <c r="A24"/>
      <c r="B24" s="130" t="s">
        <v>161</v>
      </c>
      <c r="C24"/>
      <c r="D24"/>
      <c r="E24"/>
      <c r="F24"/>
      <c r="G24"/>
      <c r="H24"/>
      <c r="I24"/>
      <c r="J24"/>
      <c r="K24"/>
      <c r="L24"/>
    </row>
    <row r="25" spans="1:12">
      <c r="A25"/>
      <c r="B25"/>
      <c r="C25"/>
      <c r="D25"/>
      <c r="E25"/>
      <c r="F25"/>
      <c r="G25"/>
      <c r="H25"/>
      <c r="I25"/>
      <c r="J25"/>
      <c r="K25"/>
      <c r="L25"/>
    </row>
    <row r="26" spans="1:12" ht="15.75" customHeight="1">
      <c r="A26"/>
      <c r="B26"/>
      <c r="C26"/>
      <c r="D26"/>
      <c r="E26"/>
      <c r="F26"/>
      <c r="G26"/>
      <c r="H26"/>
      <c r="I26"/>
      <c r="J26"/>
      <c r="K26"/>
      <c r="L26"/>
    </row>
    <row r="27" spans="1:12" ht="15.75" customHeight="1">
      <c r="A27" s="3" t="s">
        <v>9</v>
      </c>
      <c r="B27" s="3" t="s">
        <v>160</v>
      </c>
      <c r="C27" s="3"/>
      <c r="D27" s="3"/>
      <c r="E27" s="3"/>
      <c r="F27" s="3"/>
      <c r="G27" s="3"/>
      <c r="H27" s="3"/>
      <c r="I27" s="3"/>
      <c r="J27" s="3"/>
      <c r="K27" s="3"/>
      <c r="L27" s="2"/>
    </row>
    <row r="28" spans="1:12" ht="15.75" customHeight="1">
      <c r="A28" s="5"/>
      <c r="B28" s="5" t="s">
        <v>64</v>
      </c>
      <c r="C28" s="5"/>
      <c r="D28" s="4"/>
      <c r="E28" s="4"/>
      <c r="F28" s="4"/>
      <c r="G28" s="4"/>
      <c r="H28" s="3"/>
      <c r="I28" s="3"/>
      <c r="J28" s="2"/>
      <c r="K28" s="3"/>
      <c r="L28" s="2"/>
    </row>
    <row r="29" spans="1:12" ht="15.75" customHeight="1">
      <c r="A29" s="5"/>
      <c r="B29" s="5"/>
      <c r="C29" s="5"/>
      <c r="D29" s="4"/>
      <c r="E29" s="4"/>
      <c r="F29" s="4"/>
      <c r="G29" s="4"/>
      <c r="H29" s="3"/>
      <c r="I29" s="3"/>
      <c r="J29" s="2"/>
      <c r="K29" s="3"/>
      <c r="L29" s="2"/>
    </row>
    <row r="30" spans="1:12" ht="15.75" customHeight="1">
      <c r="A30"/>
      <c r="B30" t="s">
        <v>45</v>
      </c>
      <c r="D30"/>
      <c r="E30"/>
      <c r="F30"/>
      <c r="G30"/>
      <c r="H30"/>
      <c r="I30"/>
      <c r="J30"/>
      <c r="K30"/>
      <c r="L30"/>
    </row>
    <row r="31" spans="1:12" ht="15.75" customHeight="1">
      <c r="A31"/>
      <c r="B31"/>
      <c r="C31" s="125" t="str">
        <f t="shared" ref="C31:H31" si="0">C6&amp;"-"&amp;D6</f>
        <v>1-2</v>
      </c>
      <c r="D31" s="125" t="str">
        <f t="shared" si="0"/>
        <v>2-3</v>
      </c>
      <c r="E31" s="125" t="str">
        <f t="shared" si="0"/>
        <v>3-4</v>
      </c>
      <c r="F31" s="125" t="str">
        <f t="shared" si="0"/>
        <v>4-5</v>
      </c>
      <c r="G31" s="125" t="str">
        <f t="shared" si="0"/>
        <v>5-6</v>
      </c>
      <c r="H31" s="125" t="str">
        <f t="shared" si="0"/>
        <v>6-7</v>
      </c>
      <c r="I31"/>
      <c r="J31"/>
      <c r="K31"/>
      <c r="L31"/>
    </row>
    <row r="32" spans="1:12" ht="15.75" customHeight="1">
      <c r="A32"/>
      <c r="B32">
        <f t="shared" ref="B32:B37" si="1">B7</f>
        <v>1</v>
      </c>
      <c r="C32" s="129">
        <f t="shared" ref="C32:H32" si="2">D7/C7</f>
        <v>1.3754158349966734</v>
      </c>
      <c r="D32" s="129">
        <f t="shared" si="2"/>
        <v>1.4399564639013183</v>
      </c>
      <c r="E32" s="129">
        <f t="shared" si="2"/>
        <v>1.0754178214495675</v>
      </c>
      <c r="F32" s="129">
        <f t="shared" si="2"/>
        <v>1.2135103475204998</v>
      </c>
      <c r="G32" s="129">
        <f t="shared" si="2"/>
        <v>1.1056696055087201</v>
      </c>
      <c r="H32" s="129">
        <f t="shared" si="2"/>
        <v>1.1646004307083406</v>
      </c>
      <c r="I32"/>
      <c r="J32"/>
      <c r="K32"/>
      <c r="L32"/>
    </row>
    <row r="33" spans="1:12" ht="15.75" customHeight="1">
      <c r="A33"/>
      <c r="B33">
        <f t="shared" si="1"/>
        <v>2</v>
      </c>
      <c r="C33" s="129">
        <f>D8/C8</f>
        <v>49.858490566037737</v>
      </c>
      <c r="D33" s="129">
        <f>E8/D8</f>
        <v>1.0210028382213812</v>
      </c>
      <c r="E33" s="129">
        <f>F8/E8</f>
        <v>2.1619718309859155</v>
      </c>
      <c r="F33" s="129">
        <f>G8/F8</f>
        <v>1.1813817932453283</v>
      </c>
      <c r="G33" s="129">
        <f>H8/G8</f>
        <v>1.2043970396168917</v>
      </c>
      <c r="H33" s="129"/>
      <c r="I33"/>
      <c r="J33"/>
      <c r="K33"/>
      <c r="L33"/>
    </row>
    <row r="34" spans="1:12" ht="15.75" customHeight="1">
      <c r="A34" s="86"/>
      <c r="B34">
        <f t="shared" si="1"/>
        <v>3</v>
      </c>
      <c r="C34" s="129">
        <f>D9/C9</f>
        <v>2.0390022675736961</v>
      </c>
      <c r="D34" s="129">
        <f>E9/D9</f>
        <v>1.6540258007117439</v>
      </c>
      <c r="E34" s="129">
        <f>F9/E9</f>
        <v>1.0852551603576952</v>
      </c>
      <c r="F34" s="129">
        <f>G9/F9</f>
        <v>1.2226627842141131</v>
      </c>
      <c r="G34" s="129"/>
      <c r="H34" s="129"/>
      <c r="I34"/>
      <c r="J34"/>
      <c r="K34"/>
      <c r="L34"/>
    </row>
    <row r="35" spans="1:12" ht="15.75" customHeight="1">
      <c r="A35"/>
      <c r="B35">
        <f t="shared" si="1"/>
        <v>4</v>
      </c>
      <c r="C35" s="129">
        <f>D10/C10</f>
        <v>2.4822771213748656</v>
      </c>
      <c r="D35" s="129">
        <f>E10/D10</f>
        <v>1.2778883600173085</v>
      </c>
      <c r="E35" s="129">
        <f>F10/E10</f>
        <v>1.4402004605174048</v>
      </c>
      <c r="F35" s="129"/>
      <c r="G35" s="129"/>
      <c r="H35" s="129"/>
      <c r="I35"/>
      <c r="J35"/>
      <c r="K35"/>
      <c r="L35"/>
    </row>
    <row r="36" spans="1:12" ht="15.75" customHeight="1">
      <c r="A36"/>
      <c r="B36">
        <f t="shared" si="1"/>
        <v>5</v>
      </c>
      <c r="C36" s="129">
        <f>D11/C11</f>
        <v>4.5721797323135753</v>
      </c>
      <c r="D36" s="129">
        <f>E11/D11</f>
        <v>1.7601672765290119</v>
      </c>
      <c r="E36" s="129"/>
      <c r="F36" s="129"/>
      <c r="G36" s="129"/>
      <c r="H36" s="129"/>
      <c r="I36"/>
      <c r="J36"/>
      <c r="K36"/>
      <c r="L36"/>
    </row>
    <row r="37" spans="1:12" ht="15.75" customHeight="1">
      <c r="A37"/>
      <c r="B37">
        <f t="shared" si="1"/>
        <v>6</v>
      </c>
      <c r="C37" s="129">
        <f>D12/C12</f>
        <v>12.563352826510721</v>
      </c>
      <c r="D37" s="129"/>
      <c r="E37" s="129"/>
      <c r="F37" s="129"/>
      <c r="G37" s="129"/>
      <c r="H37" s="129"/>
      <c r="I37"/>
      <c r="J37"/>
      <c r="K37"/>
      <c r="L37"/>
    </row>
    <row r="38" spans="1:12" ht="15.75" customHeight="1">
      <c r="A38"/>
      <c r="B38"/>
      <c r="C38"/>
      <c r="D38"/>
      <c r="E38"/>
      <c r="F38"/>
      <c r="G38"/>
      <c r="H38"/>
      <c r="I38"/>
      <c r="J38"/>
      <c r="K38"/>
      <c r="L38"/>
    </row>
    <row r="39" spans="1:12" ht="15.75" customHeight="1">
      <c r="A39"/>
      <c r="B39" t="s">
        <v>159</v>
      </c>
      <c r="D39"/>
      <c r="E39"/>
      <c r="F39"/>
      <c r="G39"/>
      <c r="H39"/>
      <c r="I39"/>
      <c r="J39"/>
      <c r="K39"/>
      <c r="L39"/>
    </row>
    <row r="40" spans="1:12" ht="15.75" customHeight="1">
      <c r="A40"/>
      <c r="B40" t="s">
        <v>158</v>
      </c>
      <c r="C40" s="128">
        <f t="shared" ref="C40:H40" si="3">MEDIAN(C32:C37)</f>
        <v>3.5272284268442204</v>
      </c>
      <c r="D40" s="128">
        <f t="shared" si="3"/>
        <v>1.4399564639013183</v>
      </c>
      <c r="E40" s="128">
        <f t="shared" si="3"/>
        <v>1.2627278104375499</v>
      </c>
      <c r="F40" s="128">
        <f t="shared" si="3"/>
        <v>1.2135103475204998</v>
      </c>
      <c r="G40" s="128">
        <f t="shared" si="3"/>
        <v>1.1550333225628058</v>
      </c>
      <c r="H40" s="128">
        <f t="shared" si="3"/>
        <v>1.1646004307083406</v>
      </c>
      <c r="I40"/>
      <c r="J40"/>
      <c r="K40"/>
      <c r="L40"/>
    </row>
    <row r="41" spans="1:12" ht="15.75" customHeight="1">
      <c r="A41"/>
      <c r="B41" s="127"/>
      <c r="C41" s="125" t="s">
        <v>157</v>
      </c>
      <c r="D41" s="125" t="s">
        <v>155</v>
      </c>
      <c r="E41" s="125" t="s">
        <v>154</v>
      </c>
      <c r="F41" s="125" t="s">
        <v>153</v>
      </c>
      <c r="G41" s="125" t="s">
        <v>151</v>
      </c>
      <c r="H41" s="125" t="s">
        <v>150</v>
      </c>
      <c r="I41"/>
      <c r="J41"/>
      <c r="K41"/>
      <c r="L41"/>
    </row>
    <row r="42" spans="1:12" ht="15.75" customHeight="1">
      <c r="A42"/>
      <c r="B42" s="125" t="s">
        <v>157</v>
      </c>
      <c r="C42" s="125" t="s">
        <v>152</v>
      </c>
      <c r="D42" s="125" t="s">
        <v>156</v>
      </c>
      <c r="E42" s="125" t="s">
        <v>152</v>
      </c>
      <c r="F42" s="125" t="s">
        <v>156</v>
      </c>
      <c r="G42" s="125" t="s">
        <v>152</v>
      </c>
      <c r="H42" s="125" t="s">
        <v>156</v>
      </c>
      <c r="I42"/>
      <c r="J42"/>
      <c r="K42"/>
      <c r="L42"/>
    </row>
    <row r="43" spans="1:12" ht="15.75" customHeight="1">
      <c r="A43"/>
      <c r="B43" s="125" t="s">
        <v>155</v>
      </c>
      <c r="C43" s="125" t="s">
        <v>149</v>
      </c>
      <c r="D43" s="125" t="s">
        <v>152</v>
      </c>
      <c r="E43" s="125" t="s">
        <v>149</v>
      </c>
      <c r="F43" s="125" t="s">
        <v>152</v>
      </c>
      <c r="G43" s="125" t="s">
        <v>149</v>
      </c>
      <c r="H43" s="125"/>
      <c r="I43"/>
      <c r="J43"/>
      <c r="K43"/>
      <c r="L43"/>
    </row>
    <row r="44" spans="1:12" ht="15.75" customHeight="1">
      <c r="A44" s="86"/>
      <c r="B44" s="125" t="s">
        <v>154</v>
      </c>
      <c r="C44" s="125" t="s">
        <v>152</v>
      </c>
      <c r="D44" s="125" t="s">
        <v>149</v>
      </c>
      <c r="E44" s="125" t="s">
        <v>152</v>
      </c>
      <c r="F44" s="125" t="s">
        <v>149</v>
      </c>
      <c r="G44" s="125"/>
      <c r="H44" s="125"/>
      <c r="I44"/>
      <c r="J44"/>
      <c r="K44"/>
      <c r="L44"/>
    </row>
    <row r="45" spans="1:12" ht="15.75" customHeight="1">
      <c r="A45"/>
      <c r="B45" s="125" t="s">
        <v>153</v>
      </c>
      <c r="C45" s="125" t="s">
        <v>152</v>
      </c>
      <c r="D45" s="125" t="s">
        <v>152</v>
      </c>
      <c r="E45" s="125" t="s">
        <v>149</v>
      </c>
      <c r="F45" s="125"/>
      <c r="G45" s="125"/>
      <c r="H45" s="125"/>
      <c r="I45"/>
      <c r="J45"/>
      <c r="K45"/>
      <c r="L45"/>
    </row>
    <row r="46" spans="1:12" ht="15.75" customHeight="1">
      <c r="A46"/>
      <c r="B46" s="125" t="s">
        <v>151</v>
      </c>
      <c r="C46" s="125" t="s">
        <v>149</v>
      </c>
      <c r="D46" s="125" t="s">
        <v>149</v>
      </c>
      <c r="E46" s="125"/>
      <c r="F46" s="125"/>
      <c r="G46" s="125"/>
      <c r="H46" s="125"/>
      <c r="I46"/>
      <c r="J46"/>
      <c r="K46"/>
      <c r="L46"/>
    </row>
    <row r="47" spans="1:12" ht="15.75" customHeight="1">
      <c r="A47"/>
      <c r="B47" s="125" t="s">
        <v>150</v>
      </c>
      <c r="C47" s="125" t="s">
        <v>149</v>
      </c>
      <c r="D47" s="125"/>
      <c r="E47" s="125"/>
      <c r="F47" s="125"/>
      <c r="G47" s="125"/>
      <c r="H47" s="125"/>
      <c r="I47"/>
      <c r="J47"/>
      <c r="K47"/>
      <c r="L47"/>
    </row>
    <row r="48" spans="1:12" ht="15.75" customHeight="1">
      <c r="A48"/>
      <c r="B48"/>
      <c r="C48"/>
      <c r="D48"/>
      <c r="E48"/>
      <c r="F48"/>
      <c r="G48"/>
      <c r="H48"/>
      <c r="I48"/>
      <c r="J48"/>
      <c r="K48"/>
      <c r="L48"/>
    </row>
    <row r="49" spans="1:12" ht="15.75" customHeight="1">
      <c r="A49"/>
      <c r="B49" s="126" t="s">
        <v>148</v>
      </c>
      <c r="C49"/>
      <c r="D49"/>
      <c r="E49"/>
      <c r="F49"/>
      <c r="G49"/>
      <c r="H49"/>
      <c r="I49"/>
      <c r="J49"/>
      <c r="K49"/>
      <c r="L49"/>
    </row>
    <row r="50" spans="1:12" ht="15.75" customHeight="1">
      <c r="A50"/>
      <c r="B50" s="126" t="s">
        <v>147</v>
      </c>
      <c r="C50"/>
      <c r="D50"/>
      <c r="E50"/>
      <c r="F50"/>
      <c r="G50"/>
      <c r="H50"/>
      <c r="I50"/>
      <c r="J50"/>
      <c r="K50"/>
      <c r="L50"/>
    </row>
    <row r="51" spans="1:12" ht="15.75" customHeight="1">
      <c r="A51"/>
      <c r="B51" s="125" t="s">
        <v>146</v>
      </c>
      <c r="C51" s="125" t="s">
        <v>145</v>
      </c>
      <c r="D51" s="125" t="s">
        <v>144</v>
      </c>
      <c r="E51" s="125" t="s">
        <v>143</v>
      </c>
      <c r="F51"/>
      <c r="G51"/>
      <c r="H51"/>
      <c r="I51"/>
      <c r="J51"/>
      <c r="K51"/>
      <c r="L51"/>
    </row>
    <row r="52" spans="1:12" ht="15.75" customHeight="1">
      <c r="A52"/>
      <c r="B52" s="125">
        <v>2</v>
      </c>
      <c r="C52" s="125">
        <v>0</v>
      </c>
      <c r="D52" s="125">
        <v>1</v>
      </c>
      <c r="E52" s="125">
        <f>MIN(C52:D52)</f>
        <v>0</v>
      </c>
      <c r="F52"/>
      <c r="G52"/>
      <c r="H52"/>
      <c r="I52"/>
      <c r="J52"/>
      <c r="K52"/>
      <c r="L52"/>
    </row>
    <row r="53" spans="1:12" ht="15.75" customHeight="1">
      <c r="A53" s="86"/>
      <c r="B53" s="125">
        <v>3</v>
      </c>
      <c r="C53" s="125">
        <v>3</v>
      </c>
      <c r="D53" s="125">
        <v>0</v>
      </c>
      <c r="E53" s="125">
        <f>MIN(C53:D53)</f>
        <v>0</v>
      </c>
      <c r="F53"/>
      <c r="G53"/>
      <c r="H53"/>
      <c r="I53"/>
      <c r="J53"/>
      <c r="K53"/>
      <c r="L53"/>
    </row>
    <row r="54" spans="1:12" ht="15.75" customHeight="1">
      <c r="A54"/>
      <c r="B54" s="125">
        <v>4</v>
      </c>
      <c r="C54" s="125">
        <v>1</v>
      </c>
      <c r="D54" s="125">
        <v>2</v>
      </c>
      <c r="E54" s="125">
        <f>MIN(C54:D54)</f>
        <v>1</v>
      </c>
      <c r="F54"/>
      <c r="G54"/>
      <c r="H54"/>
      <c r="I54"/>
      <c r="J54"/>
      <c r="K54"/>
      <c r="L54"/>
    </row>
    <row r="55" spans="1:12" ht="15.75" customHeight="1">
      <c r="A55"/>
      <c r="B55" s="125">
        <v>5</v>
      </c>
      <c r="C55" s="125">
        <v>4</v>
      </c>
      <c r="D55" s="125">
        <v>1</v>
      </c>
      <c r="E55" s="125">
        <f>MIN(C55:D55)</f>
        <v>1</v>
      </c>
      <c r="F55"/>
      <c r="G55"/>
      <c r="H55"/>
      <c r="I55"/>
      <c r="J55"/>
      <c r="K55"/>
      <c r="L55"/>
    </row>
    <row r="56" spans="1:12" ht="15.75" customHeight="1">
      <c r="A56"/>
      <c r="B56" s="125">
        <v>6</v>
      </c>
      <c r="C56" s="125">
        <v>0</v>
      </c>
      <c r="D56" s="125">
        <v>5</v>
      </c>
      <c r="E56" s="125">
        <f>MIN(C56:D56)</f>
        <v>0</v>
      </c>
      <c r="F56"/>
      <c r="G56"/>
      <c r="H56"/>
      <c r="I56"/>
      <c r="J56"/>
      <c r="K56"/>
      <c r="L56"/>
    </row>
    <row r="57" spans="1:12" ht="15.75" customHeight="1">
      <c r="A57"/>
      <c r="B57"/>
      <c r="C57"/>
      <c r="D57"/>
      <c r="E57" s="124">
        <f>SUM(E52:E56)</f>
        <v>2</v>
      </c>
      <c r="F57"/>
      <c r="G57"/>
      <c r="H57"/>
      <c r="I57"/>
      <c r="J57"/>
      <c r="K57"/>
      <c r="L57"/>
    </row>
    <row r="58" spans="1:12" ht="15.75" customHeight="1">
      <c r="A58"/>
      <c r="B58"/>
      <c r="C58"/>
      <c r="D58"/>
      <c r="E58"/>
      <c r="F58"/>
      <c r="G58"/>
      <c r="H58"/>
      <c r="I58"/>
      <c r="J58"/>
      <c r="K58"/>
      <c r="L58"/>
    </row>
    <row r="59" spans="1:12" ht="15.75" customHeight="1">
      <c r="A59" s="3" t="s">
        <v>142</v>
      </c>
      <c r="B59" s="44"/>
      <c r="C59" s="44"/>
      <c r="D59" s="44"/>
      <c r="E59" s="44"/>
      <c r="F59" s="44"/>
      <c r="G59" s="44"/>
      <c r="H59" s="44"/>
      <c r="I59" s="44"/>
      <c r="J59" s="44"/>
      <c r="K59" s="44"/>
      <c r="L59" s="44"/>
    </row>
    <row r="60" spans="1:12" ht="15.75" customHeight="1">
      <c r="A60" s="3" t="s">
        <v>141</v>
      </c>
      <c r="B60" s="44"/>
      <c r="C60" s="44"/>
      <c r="D60" s="44"/>
      <c r="E60" s="44"/>
      <c r="F60" s="44"/>
      <c r="G60" s="44"/>
      <c r="H60" s="44"/>
      <c r="I60" s="44"/>
      <c r="J60" s="44"/>
      <c r="K60" s="44"/>
      <c r="L60" s="44"/>
    </row>
    <row r="61" spans="1:12" ht="15.75" customHeight="1">
      <c r="A61" s="44"/>
      <c r="B61" s="44"/>
      <c r="C61" s="44"/>
      <c r="D61" s="44"/>
      <c r="E61" s="44"/>
      <c r="F61" s="44"/>
      <c r="G61" s="44"/>
      <c r="H61" s="44"/>
      <c r="I61" s="44"/>
      <c r="J61" s="44"/>
      <c r="K61" s="44"/>
      <c r="L61" s="44"/>
    </row>
    <row r="62" spans="1:12" ht="15.75" customHeight="1">
      <c r="A62" s="3" t="s">
        <v>7</v>
      </c>
      <c r="B62" s="3" t="s">
        <v>140</v>
      </c>
      <c r="C62" s="3"/>
      <c r="D62" s="3"/>
      <c r="E62" s="3"/>
      <c r="F62" s="3"/>
      <c r="G62" s="3"/>
      <c r="H62" s="3"/>
      <c r="I62" s="3"/>
      <c r="J62" s="3"/>
      <c r="K62" s="3"/>
      <c r="L62" s="2"/>
    </row>
    <row r="63" spans="1:12" ht="15.75" customHeight="1">
      <c r="A63" s="5"/>
      <c r="B63" s="5" t="s">
        <v>64</v>
      </c>
      <c r="C63" s="5"/>
      <c r="D63" s="4"/>
      <c r="E63" s="4"/>
      <c r="F63" s="4"/>
      <c r="G63" s="4"/>
      <c r="H63" s="3"/>
      <c r="I63" s="3"/>
      <c r="J63" s="2"/>
      <c r="K63" s="3"/>
      <c r="L63" s="2"/>
    </row>
    <row r="64" spans="1:12" ht="15.75" customHeight="1">
      <c r="A64"/>
      <c r="B64"/>
      <c r="C64"/>
      <c r="D64"/>
      <c r="E64"/>
      <c r="F64"/>
      <c r="G64"/>
      <c r="H64"/>
      <c r="I64"/>
      <c r="J64"/>
      <c r="K64"/>
      <c r="L64"/>
    </row>
    <row r="65" spans="1:12" ht="15.75" customHeight="1">
      <c r="A65" s="86"/>
      <c r="B65" t="s">
        <v>139</v>
      </c>
      <c r="C65"/>
      <c r="D65"/>
      <c r="E65"/>
      <c r="F65"/>
      <c r="G65"/>
      <c r="H65"/>
      <c r="I65"/>
      <c r="J65"/>
      <c r="K65"/>
      <c r="L65"/>
    </row>
    <row r="66" spans="1:12" ht="15.75" customHeight="1">
      <c r="A66"/>
      <c r="B66"/>
      <c r="C66"/>
      <c r="D66"/>
      <c r="E66"/>
      <c r="F66"/>
      <c r="G66"/>
      <c r="H66"/>
      <c r="I66"/>
      <c r="J66"/>
      <c r="K66"/>
      <c r="L66"/>
    </row>
    <row r="67" spans="1:12" ht="15.75" customHeight="1">
      <c r="A67" s="119" t="s">
        <v>138</v>
      </c>
      <c r="B67" s="118"/>
      <c r="C67" s="118"/>
      <c r="D67" s="118"/>
      <c r="E67" s="118"/>
      <c r="F67" s="118"/>
      <c r="G67" s="118"/>
      <c r="H67" s="118"/>
      <c r="I67" s="118"/>
      <c r="J67" s="118"/>
      <c r="K67" s="2"/>
      <c r="L67" s="2"/>
    </row>
    <row r="68" spans="1:12" ht="15.75" customHeight="1">
      <c r="A68" s="119" t="s">
        <v>137</v>
      </c>
      <c r="B68" s="118"/>
      <c r="C68" s="118"/>
      <c r="D68" s="118"/>
      <c r="E68" s="118"/>
      <c r="F68" s="118"/>
      <c r="G68" s="118"/>
      <c r="H68" s="118"/>
      <c r="I68" s="118"/>
      <c r="J68" s="118"/>
      <c r="K68" s="2"/>
      <c r="L68" s="2"/>
    </row>
    <row r="69" spans="1:12" ht="15.75" customHeight="1">
      <c r="A69" s="118"/>
      <c r="B69" s="118"/>
      <c r="C69" s="118"/>
      <c r="D69" s="118"/>
      <c r="E69" s="118"/>
      <c r="F69" s="118"/>
      <c r="G69" s="118"/>
      <c r="H69" s="118"/>
      <c r="I69" s="118"/>
      <c r="J69" s="118"/>
      <c r="K69" s="2"/>
      <c r="L69" s="2"/>
    </row>
    <row r="70" spans="1:12" ht="15.75" customHeight="1">
      <c r="A70" s="119" t="s">
        <v>4</v>
      </c>
      <c r="B70" s="119" t="s">
        <v>136</v>
      </c>
      <c r="C70" s="119"/>
      <c r="D70" s="119"/>
      <c r="E70" s="119"/>
      <c r="F70" s="119"/>
      <c r="G70" s="119"/>
      <c r="H70" s="119"/>
      <c r="I70" s="119"/>
      <c r="J70" s="119"/>
      <c r="K70" s="3"/>
      <c r="L70" s="2"/>
    </row>
    <row r="71" spans="1:12" ht="15.75" customHeight="1">
      <c r="A71" s="121"/>
      <c r="B71" s="121" t="s">
        <v>64</v>
      </c>
      <c r="C71" s="121"/>
      <c r="D71" s="120"/>
      <c r="E71" s="120"/>
      <c r="F71" s="120"/>
      <c r="G71" s="120"/>
      <c r="H71" s="119"/>
      <c r="I71" s="119"/>
      <c r="J71" s="118"/>
      <c r="K71" s="3"/>
      <c r="L71" s="2"/>
    </row>
    <row r="72" spans="1:12" ht="15.75" customHeight="1">
      <c r="A72" s="108"/>
      <c r="B72" s="108"/>
      <c r="C72" s="108"/>
      <c r="D72" s="108"/>
      <c r="E72" s="108"/>
      <c r="F72" s="108"/>
      <c r="G72" s="108"/>
      <c r="H72" s="108"/>
      <c r="I72" s="108"/>
      <c r="J72" s="108"/>
      <c r="K72"/>
      <c r="L72"/>
    </row>
    <row r="73" spans="1:12" ht="15.75" customHeight="1">
      <c r="A73" s="108"/>
      <c r="B73" s="108" t="s">
        <v>135</v>
      </c>
      <c r="C73" s="108"/>
      <c r="D73" s="108"/>
      <c r="E73" s="108"/>
      <c r="F73" s="108"/>
      <c r="G73" s="108"/>
      <c r="H73" s="108"/>
      <c r="I73" s="108"/>
      <c r="J73" s="108"/>
      <c r="K73"/>
      <c r="L73"/>
    </row>
    <row r="74" spans="1:12" ht="15.75" customHeight="1">
      <c r="A74" s="108"/>
      <c r="B74" s="108"/>
      <c r="C74" s="116">
        <v>1</v>
      </c>
      <c r="D74" s="116">
        <v>2</v>
      </c>
      <c r="E74" s="116">
        <v>3</v>
      </c>
      <c r="F74" s="116">
        <v>4</v>
      </c>
      <c r="G74" s="116">
        <v>5</v>
      </c>
      <c r="H74" s="116">
        <v>6</v>
      </c>
      <c r="I74" s="116">
        <v>7</v>
      </c>
      <c r="J74" s="108"/>
      <c r="K74"/>
      <c r="L74"/>
    </row>
    <row r="75" spans="1:12" ht="15.75" customHeight="1">
      <c r="A75" s="108"/>
      <c r="B75" s="108">
        <v>1</v>
      </c>
      <c r="C75" s="123">
        <f t="shared" ref="C75:C81" si="4">C7</f>
        <v>6012</v>
      </c>
      <c r="D75" s="123">
        <f t="shared" ref="D75:I75" si="5">D7-C7</f>
        <v>2257</v>
      </c>
      <c r="E75" s="123">
        <f t="shared" si="5"/>
        <v>3638</v>
      </c>
      <c r="F75" s="123">
        <f t="shared" si="5"/>
        <v>898</v>
      </c>
      <c r="G75" s="123">
        <f t="shared" si="5"/>
        <v>2734</v>
      </c>
      <c r="H75" s="123">
        <f t="shared" si="5"/>
        <v>1642</v>
      </c>
      <c r="I75" s="123">
        <f t="shared" si="5"/>
        <v>2828</v>
      </c>
      <c r="J75" s="108"/>
      <c r="K75"/>
      <c r="L75"/>
    </row>
    <row r="76" spans="1:12" ht="15.75" customHeight="1">
      <c r="A76" s="108"/>
      <c r="B76" s="108">
        <v>2</v>
      </c>
      <c r="C76" s="123">
        <f t="shared" si="4"/>
        <v>106</v>
      </c>
      <c r="D76" s="123">
        <f>D8-C8</f>
        <v>5179</v>
      </c>
      <c r="E76" s="123">
        <f>E8-D8</f>
        <v>111</v>
      </c>
      <c r="F76" s="123">
        <f>F8-E8</f>
        <v>6270</v>
      </c>
      <c r="G76" s="123">
        <f>G8-F8</f>
        <v>2116</v>
      </c>
      <c r="H76" s="123">
        <f>H8-G8</f>
        <v>2817</v>
      </c>
      <c r="I76" s="108"/>
      <c r="J76" s="108"/>
      <c r="K76"/>
      <c r="L76"/>
    </row>
    <row r="77" spans="1:12" ht="15.75" customHeight="1">
      <c r="A77" s="108"/>
      <c r="B77" s="108">
        <v>3</v>
      </c>
      <c r="C77" s="123">
        <f t="shared" si="4"/>
        <v>4410</v>
      </c>
      <c r="D77" s="123">
        <f>D9-C9</f>
        <v>4582</v>
      </c>
      <c r="E77" s="123">
        <f>E9-D9</f>
        <v>5881</v>
      </c>
      <c r="F77" s="123">
        <f>F9-E9</f>
        <v>1268</v>
      </c>
      <c r="G77" s="123">
        <f>G9-F9</f>
        <v>3594</v>
      </c>
      <c r="H77" s="108"/>
      <c r="I77" s="108"/>
      <c r="J77" s="108"/>
      <c r="K77"/>
      <c r="L77"/>
    </row>
    <row r="78" spans="1:12" ht="15.75" customHeight="1">
      <c r="A78" s="122"/>
      <c r="B78" s="108">
        <v>4</v>
      </c>
      <c r="C78" s="123">
        <f t="shared" si="4"/>
        <v>4655</v>
      </c>
      <c r="D78" s="123">
        <f>D10-C10</f>
        <v>6900</v>
      </c>
      <c r="E78" s="123">
        <f>E10-D10</f>
        <v>3211</v>
      </c>
      <c r="F78" s="123">
        <f>F10-E10</f>
        <v>6500</v>
      </c>
      <c r="G78" s="108"/>
      <c r="H78" s="108"/>
      <c r="I78" s="108"/>
      <c r="J78" s="108"/>
      <c r="K78"/>
      <c r="L78"/>
    </row>
    <row r="79" spans="1:12" ht="15.75" customHeight="1">
      <c r="A79" s="108"/>
      <c r="B79" s="108">
        <v>5</v>
      </c>
      <c r="C79" s="123">
        <f t="shared" si="4"/>
        <v>2092</v>
      </c>
      <c r="D79" s="123">
        <f>D11-C11</f>
        <v>7473</v>
      </c>
      <c r="E79" s="123">
        <f>E11-D11</f>
        <v>7271</v>
      </c>
      <c r="F79" s="108"/>
      <c r="G79" s="108"/>
      <c r="H79" s="108"/>
      <c r="I79" s="108"/>
      <c r="J79" s="108"/>
      <c r="K79"/>
      <c r="L79"/>
    </row>
    <row r="80" spans="1:12" ht="15.75" customHeight="1">
      <c r="A80" s="108"/>
      <c r="B80" s="108">
        <v>6</v>
      </c>
      <c r="C80" s="123">
        <f t="shared" si="4"/>
        <v>513</v>
      </c>
      <c r="D80" s="123">
        <f>D12-C12</f>
        <v>5932</v>
      </c>
      <c r="E80" s="108"/>
      <c r="F80" s="108"/>
      <c r="G80" s="108"/>
      <c r="H80" s="108"/>
      <c r="I80" s="108"/>
      <c r="J80" s="108"/>
      <c r="K80"/>
      <c r="L80"/>
    </row>
    <row r="81" spans="1:12" ht="15.75" customHeight="1">
      <c r="A81" s="108"/>
      <c r="B81" s="108">
        <v>7</v>
      </c>
      <c r="C81" s="123">
        <f t="shared" si="4"/>
        <v>1557</v>
      </c>
      <c r="D81" s="108"/>
      <c r="E81" s="108"/>
      <c r="F81" s="108"/>
      <c r="G81" s="108"/>
      <c r="H81" s="108"/>
      <c r="I81" s="108"/>
      <c r="J81" s="108"/>
      <c r="K81"/>
      <c r="L81"/>
    </row>
    <row r="82" spans="1:12" ht="15.75" customHeight="1">
      <c r="A82" s="108"/>
      <c r="B82" s="108"/>
      <c r="C82" s="108"/>
      <c r="D82" s="108"/>
      <c r="E82" s="108"/>
      <c r="F82" s="108"/>
      <c r="G82" s="108"/>
      <c r="H82" s="108"/>
      <c r="I82" s="108"/>
      <c r="J82" s="108"/>
      <c r="K82"/>
      <c r="L82"/>
    </row>
    <row r="83" spans="1:12" ht="15.75" customHeight="1">
      <c r="A83" s="108"/>
      <c r="B83" s="108" t="s">
        <v>134</v>
      </c>
      <c r="C83" s="108">
        <v>1</v>
      </c>
      <c r="D83" s="108">
        <v>2</v>
      </c>
      <c r="E83" s="108">
        <v>3</v>
      </c>
      <c r="F83" s="108">
        <v>4</v>
      </c>
      <c r="G83" s="108">
        <v>5</v>
      </c>
      <c r="H83" s="108">
        <v>6</v>
      </c>
      <c r="I83" s="108">
        <v>7</v>
      </c>
      <c r="J83" s="108"/>
      <c r="K83"/>
      <c r="L83"/>
    </row>
    <row r="84" spans="1:12" ht="15.75" customHeight="1">
      <c r="A84" s="122"/>
      <c r="B84" s="108" t="s">
        <v>133</v>
      </c>
      <c r="C84" s="115">
        <f t="shared" ref="C84:I84" si="6">AVERAGE(C75:C81)</f>
        <v>2763.5714285714284</v>
      </c>
      <c r="D84" s="115">
        <f t="shared" si="6"/>
        <v>5387.166666666667</v>
      </c>
      <c r="E84" s="115">
        <f t="shared" si="6"/>
        <v>4022.4</v>
      </c>
      <c r="F84" s="115">
        <f t="shared" si="6"/>
        <v>3734</v>
      </c>
      <c r="G84" s="115">
        <f t="shared" si="6"/>
        <v>2814.6666666666665</v>
      </c>
      <c r="H84" s="115">
        <f t="shared" si="6"/>
        <v>2229.5</v>
      </c>
      <c r="I84" s="115">
        <f t="shared" si="6"/>
        <v>2828</v>
      </c>
      <c r="J84" s="108"/>
      <c r="K84"/>
      <c r="L84"/>
    </row>
    <row r="85" spans="1:12">
      <c r="A85" s="108"/>
      <c r="B85" s="108"/>
      <c r="C85" s="108"/>
      <c r="D85" s="108"/>
      <c r="E85" s="108"/>
      <c r="F85" s="108"/>
      <c r="G85" s="108"/>
      <c r="H85" s="108"/>
      <c r="I85" s="108"/>
      <c r="J85" s="108"/>
      <c r="K85"/>
      <c r="L85"/>
    </row>
    <row r="86" spans="1:12">
      <c r="A86" s="119" t="s">
        <v>48</v>
      </c>
      <c r="B86" s="119" t="s">
        <v>132</v>
      </c>
      <c r="C86" s="119"/>
      <c r="D86" s="119"/>
      <c r="E86" s="119"/>
      <c r="F86" s="119"/>
      <c r="G86" s="119"/>
      <c r="H86" s="119"/>
      <c r="I86" s="119"/>
      <c r="J86" s="119"/>
      <c r="K86" s="3"/>
      <c r="L86" s="2"/>
    </row>
    <row r="87" spans="1:12" ht="16.2">
      <c r="A87" s="121"/>
      <c r="B87" s="121" t="s">
        <v>64</v>
      </c>
      <c r="C87" s="121"/>
      <c r="D87" s="120"/>
      <c r="E87" s="120"/>
      <c r="F87" s="120"/>
      <c r="G87" s="120"/>
      <c r="H87" s="119"/>
      <c r="I87" s="119"/>
      <c r="J87" s="118"/>
      <c r="K87" s="3"/>
      <c r="L87" s="2"/>
    </row>
    <row r="88" spans="1:12">
      <c r="A88" s="108"/>
      <c r="B88" s="108"/>
      <c r="C88" s="108"/>
      <c r="D88" s="108"/>
      <c r="E88" s="108"/>
      <c r="F88" s="108"/>
      <c r="G88" s="108"/>
      <c r="H88" s="108"/>
      <c r="I88" s="108"/>
      <c r="J88" s="108"/>
      <c r="K88"/>
      <c r="L88"/>
    </row>
    <row r="89" spans="1:12">
      <c r="A89" s="122"/>
      <c r="B89" s="115">
        <f>SUM(D84:I84)</f>
        <v>21015.733333333334</v>
      </c>
      <c r="C89" s="108"/>
      <c r="D89" s="108"/>
      <c r="E89" s="108"/>
      <c r="F89" s="108"/>
      <c r="G89" s="108"/>
      <c r="H89" s="108"/>
      <c r="I89" s="108"/>
      <c r="J89" s="108"/>
      <c r="K89"/>
      <c r="L89"/>
    </row>
    <row r="90" spans="1:12">
      <c r="A90" s="108"/>
      <c r="B90" s="108"/>
      <c r="C90" s="108"/>
      <c r="D90" s="108"/>
      <c r="E90" s="108"/>
      <c r="F90" s="108"/>
      <c r="G90" s="108"/>
      <c r="H90" s="108"/>
      <c r="I90" s="108"/>
      <c r="J90" s="108"/>
      <c r="K90"/>
      <c r="L90"/>
    </row>
    <row r="91" spans="1:12">
      <c r="A91" s="119" t="s">
        <v>131</v>
      </c>
      <c r="B91" s="118"/>
      <c r="C91" s="118"/>
      <c r="D91" s="118"/>
      <c r="E91" s="118"/>
      <c r="F91" s="118"/>
      <c r="G91" s="118"/>
      <c r="H91" s="118"/>
      <c r="I91" s="118"/>
      <c r="J91" s="118"/>
      <c r="K91" s="2"/>
      <c r="L91" s="2"/>
    </row>
    <row r="92" spans="1:12">
      <c r="A92" s="119" t="s">
        <v>130</v>
      </c>
      <c r="B92" s="118"/>
      <c r="C92" s="118"/>
      <c r="D92" s="118"/>
      <c r="E92" s="118"/>
      <c r="F92" s="118"/>
      <c r="G92" s="118"/>
      <c r="H92" s="118"/>
      <c r="I92" s="118"/>
      <c r="J92" s="118"/>
      <c r="K92" s="2"/>
      <c r="L92" s="2"/>
    </row>
    <row r="93" spans="1:12">
      <c r="A93" s="118"/>
      <c r="B93" s="118"/>
      <c r="C93" s="118"/>
      <c r="D93" s="118"/>
      <c r="E93" s="118"/>
      <c r="F93" s="118"/>
      <c r="G93" s="118"/>
      <c r="H93" s="118"/>
      <c r="I93" s="118"/>
      <c r="J93" s="118"/>
      <c r="K93" s="2"/>
      <c r="L93" s="2"/>
    </row>
    <row r="94" spans="1:12">
      <c r="A94" s="119" t="s">
        <v>129</v>
      </c>
      <c r="B94" s="119" t="s">
        <v>128</v>
      </c>
      <c r="C94" s="119"/>
      <c r="D94" s="119"/>
      <c r="E94" s="119"/>
      <c r="F94" s="119"/>
      <c r="G94" s="119"/>
      <c r="H94" s="119"/>
      <c r="I94" s="119"/>
      <c r="J94" s="119"/>
      <c r="K94" s="3"/>
      <c r="L94" s="2"/>
    </row>
    <row r="95" spans="1:12">
      <c r="A95" s="119"/>
      <c r="B95" s="119" t="s">
        <v>127</v>
      </c>
      <c r="C95" s="119"/>
      <c r="D95" s="119"/>
      <c r="E95" s="119"/>
      <c r="F95" s="119"/>
      <c r="G95" s="119"/>
      <c r="H95" s="119"/>
      <c r="I95" s="119"/>
      <c r="J95" s="119"/>
      <c r="K95" s="3"/>
      <c r="L95" s="2"/>
    </row>
    <row r="96" spans="1:12">
      <c r="A96" s="119"/>
      <c r="B96" s="119" t="s">
        <v>126</v>
      </c>
      <c r="C96" s="119"/>
      <c r="D96" s="119"/>
      <c r="E96" s="119"/>
      <c r="F96" s="119"/>
      <c r="G96" s="119"/>
      <c r="H96" s="119"/>
      <c r="I96" s="119"/>
      <c r="J96" s="119"/>
      <c r="K96" s="3"/>
      <c r="L96" s="2"/>
    </row>
    <row r="97" spans="1:12">
      <c r="A97" s="119"/>
      <c r="B97" s="119" t="s">
        <v>125</v>
      </c>
      <c r="C97" s="119"/>
      <c r="D97" s="119"/>
      <c r="E97" s="119"/>
      <c r="F97" s="119"/>
      <c r="G97" s="119"/>
      <c r="H97" s="119"/>
      <c r="I97" s="119"/>
      <c r="J97" s="119"/>
      <c r="K97" s="3"/>
      <c r="L97" s="2"/>
    </row>
    <row r="98" spans="1:12" ht="16.2">
      <c r="A98" s="121"/>
      <c r="B98" s="121" t="s">
        <v>64</v>
      </c>
      <c r="C98" s="121"/>
      <c r="D98" s="120"/>
      <c r="E98" s="120"/>
      <c r="F98" s="120"/>
      <c r="G98" s="120"/>
      <c r="H98" s="119"/>
      <c r="I98" s="119"/>
      <c r="J98" s="118"/>
      <c r="K98" s="3"/>
      <c r="L98" s="2"/>
    </row>
    <row r="99" spans="1:12" customFormat="1" ht="14.4">
      <c r="A99" s="108"/>
      <c r="B99" s="108"/>
      <c r="C99" s="108"/>
      <c r="D99" s="108"/>
      <c r="E99" s="108"/>
      <c r="F99" s="108"/>
      <c r="G99" s="108"/>
      <c r="H99" s="108"/>
      <c r="I99" s="108"/>
      <c r="J99" s="108"/>
    </row>
    <row r="100" spans="1:12" customFormat="1" ht="14.4">
      <c r="A100" s="108" t="s">
        <v>124</v>
      </c>
      <c r="B100" s="117" t="s">
        <v>123</v>
      </c>
      <c r="C100" s="116">
        <v>1</v>
      </c>
      <c r="D100" s="116">
        <v>2</v>
      </c>
      <c r="E100" s="116">
        <v>3</v>
      </c>
      <c r="F100" s="116">
        <v>4</v>
      </c>
      <c r="G100" s="116">
        <v>5</v>
      </c>
      <c r="H100" s="116">
        <v>6</v>
      </c>
      <c r="I100" s="116">
        <v>7</v>
      </c>
      <c r="J100" s="116">
        <v>8</v>
      </c>
    </row>
    <row r="101" spans="1:12" customFormat="1" ht="14.4">
      <c r="A101" s="108">
        <v>0</v>
      </c>
      <c r="B101" s="114" t="s">
        <v>122</v>
      </c>
      <c r="C101" s="115">
        <f t="shared" ref="C101:I101" si="7">C84</f>
        <v>2763.5714285714284</v>
      </c>
      <c r="D101" s="115">
        <f t="shared" si="7"/>
        <v>5387.166666666667</v>
      </c>
      <c r="E101" s="115">
        <f t="shared" si="7"/>
        <v>4022.4</v>
      </c>
      <c r="F101" s="115">
        <f t="shared" si="7"/>
        <v>3734</v>
      </c>
      <c r="G101" s="115">
        <f t="shared" si="7"/>
        <v>2814.6666666666665</v>
      </c>
      <c r="H101" s="115">
        <f t="shared" si="7"/>
        <v>2229.5</v>
      </c>
      <c r="I101" s="115">
        <f t="shared" si="7"/>
        <v>2828</v>
      </c>
      <c r="J101" s="108"/>
      <c r="K101" s="86"/>
    </row>
    <row r="102" spans="1:12" customFormat="1" ht="14.4">
      <c r="A102" s="108">
        <v>0</v>
      </c>
      <c r="B102" s="114" t="s">
        <v>121</v>
      </c>
      <c r="C102" s="115"/>
      <c r="D102" s="113">
        <f>+($C101*$C$75)/SUMPRODUCT($C101:C101,$C101:C101)</f>
        <v>2.1754458516412511</v>
      </c>
      <c r="E102" s="113">
        <f>+($C101*$C$76+$D101*$D$75)/SUMPRODUCT($C101:D101,$C101:D101)</f>
        <v>0.33966585318558223</v>
      </c>
      <c r="F102" s="113">
        <f>+($C101*$C$77+$D101*$D$76+$E101*$E$75)/SUMPRODUCT($C101:E101,$C101:E101)</f>
        <v>1.0356251699162797</v>
      </c>
      <c r="G102" s="113">
        <f>+($C101*$C$78+$D101*$D$77+$E101*$E$76+$F101*$F$75)/SUMPRODUCT($C101:F101,$C101:F101)</f>
        <v>0.61915551840714134</v>
      </c>
      <c r="H102" s="113">
        <f>+($C101*$C$79+$D101*$D$78+$E101*$E$77+$F101*$F$76+$G101*$G$75)/SUMPRODUCT($C101:G101,$C101:G101)</f>
        <v>1.308048425850439</v>
      </c>
      <c r="I102" s="113">
        <f>+($C101*$C$80+$D101*$D$79+$E101*$E$78+$F101*$F$77+$G101*$G$76+$H101*$H$75)/SUMPRODUCT($C101:H101,$C101:H101)</f>
        <v>0.86531367961863559</v>
      </c>
      <c r="J102" s="108">
        <v>1</v>
      </c>
      <c r="K102" s="86"/>
    </row>
    <row r="103" spans="1:12" customFormat="1" ht="14.4">
      <c r="A103" s="108">
        <f t="shared" ref="A103:A128" si="8">A101+1</f>
        <v>1</v>
      </c>
      <c r="B103" s="114" t="s">
        <v>122</v>
      </c>
      <c r="C103" s="115">
        <f>MMULT(D102:$J102,C$75:C$81)/SUMPRODUCT(D102:$J102,D102:$J102)</f>
        <v>2591.4093599341313</v>
      </c>
      <c r="D103" s="115">
        <f>MMULT(E102:$J102,D$75:D$80)/SUMPRODUCT(E102:$J102,E102:$J102)</f>
        <v>6040.7664331221004</v>
      </c>
      <c r="E103" s="115">
        <f>MMULT(F102:$J102,E$75:E$79)/SUMPRODUCT(F102:$J102,F102:$J102)</f>
        <v>4389.7687736276866</v>
      </c>
      <c r="F103" s="115">
        <f>MMULT(G102:$J102,F$75:F$78)/SUMPRODUCT(G102:$J102,G102:$J102)</f>
        <v>4255.5832388719527</v>
      </c>
      <c r="G103" s="115">
        <f>MMULT(H102:$J102,G$75:G$77)/SUMPRODUCT(H102:$J102,H102:$J102)</f>
        <v>2601.6868739023598</v>
      </c>
      <c r="H103" s="115">
        <f>MMULT(I102:$J102,H$75:H$76)/SUMPRODUCT(I102:$J102,I102:$J102)</f>
        <v>2423.3321020928338</v>
      </c>
      <c r="I103" s="115">
        <f>MMULT(J102:$J102,I$75:I$75)/SUMPRODUCT(J102:$J102,J102:$J102)</f>
        <v>2828</v>
      </c>
      <c r="J103" s="108"/>
      <c r="K103" s="86"/>
    </row>
    <row r="104" spans="1:12" customFormat="1" ht="14.4">
      <c r="A104" s="108">
        <f t="shared" si="8"/>
        <v>1</v>
      </c>
      <c r="B104" s="114" t="s">
        <v>121</v>
      </c>
      <c r="C104" s="115"/>
      <c r="D104" s="113">
        <f>+($C103*$C$75)/SUMPRODUCT($C103:C103,$C103:C103)</f>
        <v>2.3199730976324071</v>
      </c>
      <c r="E104" s="113">
        <f>+($C103*$C$76+$D103*$D$75)/SUMPRODUCT($C103:D103,$C103:D103)</f>
        <v>0.32191397094336915</v>
      </c>
      <c r="F104" s="113">
        <f>+($C103*$C$77+$D103*$D$76+$E103*$E$75)/SUMPRODUCT($C103:E103,$C103:E103)</f>
        <v>0.93928727992042671</v>
      </c>
      <c r="G104" s="113">
        <f>+($C103*$C$78+$D103*$D$77+$E103*$E$76+$F103*$F$75)/SUMPRODUCT($C103:F103,$C103:F103)</f>
        <v>0.54662603233936147</v>
      </c>
      <c r="H104" s="113">
        <f>+($C103*$C$79+$D103*$D$78+$E103*$E$77+$F103*$F$76+$G103*$G$75)/SUMPRODUCT($C103:G103,$C103:G103)</f>
        <v>1.2216146757646948</v>
      </c>
      <c r="I104" s="113">
        <f>+($C103*$C$80+$D103*$D$79+$E103*$E$78+$F103*$F$77+$G103*$G$76+$H103*$H$75)/SUMPRODUCT($C103:H103,$C103:H103)</f>
        <v>0.80928739432069252</v>
      </c>
      <c r="J104" s="108">
        <v>1</v>
      </c>
    </row>
    <row r="105" spans="1:12" customFormat="1" ht="14.4">
      <c r="A105" s="108">
        <f t="shared" si="8"/>
        <v>2</v>
      </c>
      <c r="B105" s="114" t="s">
        <v>122</v>
      </c>
      <c r="C105" s="115">
        <f>MMULT(D104:$J104,C$75:C$81)/SUMPRODUCT(D104:$J104,D104:$J104)</f>
        <v>2567.3257898122129</v>
      </c>
      <c r="D105" s="115">
        <f>MMULT(E104:$J104,D$75:D$80)/SUMPRODUCT(E104:$J104,E104:$J104)</f>
        <v>6431.6016215803938</v>
      </c>
      <c r="E105" s="115">
        <f>MMULT(F104:$J104,E$75:E$79)/SUMPRODUCT(F104:$J104,F104:$J104)</f>
        <v>4743.5499758783535</v>
      </c>
      <c r="F105" s="115">
        <f>MMULT(G104:$J104,F$75:F$78)/SUMPRODUCT(G104:$J104,G104:$J104)</f>
        <v>4549.0910957582118</v>
      </c>
      <c r="G105" s="115">
        <f>MMULT(H104:$J104,G$75:G$77)/SUMPRODUCT(H104:$J104,H104:$J104)</f>
        <v>2747.2367540004452</v>
      </c>
      <c r="H105" s="115">
        <f>MMULT(I104:$J104,H$75:H$76)/SUMPRODUCT(I104:$J104,I104:$J104)</f>
        <v>2505.1268648733057</v>
      </c>
      <c r="I105" s="115">
        <f>MMULT(J104:$J104,I$75:I$75)/SUMPRODUCT(J104:$J104,J104:$J104)</f>
        <v>2828</v>
      </c>
      <c r="J105" s="108"/>
    </row>
    <row r="106" spans="1:12" customFormat="1" ht="14.4">
      <c r="A106" s="108">
        <f t="shared" si="8"/>
        <v>2</v>
      </c>
      <c r="B106" s="114" t="s">
        <v>121</v>
      </c>
      <c r="C106" s="115"/>
      <c r="D106" s="113">
        <f>+($C105*$C$75)/SUMPRODUCT($C105:C105,$C105:C105)</f>
        <v>2.3417363015855295</v>
      </c>
      <c r="E106" s="113">
        <f>+($C105*$C$76+$D105*$D$75)/SUMPRODUCT($C105:D105,$C105:D105)</f>
        <v>0.30836720166185588</v>
      </c>
      <c r="F106" s="113">
        <f>+($C105*$C$77+$D105*$D$76+$E105*$E$75)/SUMPRODUCT($C105:E105,$C105:E105)</f>
        <v>0.87837108663876673</v>
      </c>
      <c r="G106" s="113">
        <f>+($C105*$C$78+$D105*$D$77+$E105*$E$76+$F105*$F$75)/SUMPRODUCT($C105:F105,$C105:F105)</f>
        <v>0.50500305638415965</v>
      </c>
      <c r="H106" s="113">
        <f>+($C105*$C$79+$D105*$D$78+$E105*$E$77+$F105*$F$76+$G105*$G$75)/SUMPRODUCT($C105:G105,$C105:G105)</f>
        <v>1.1517738034904037</v>
      </c>
      <c r="I106" s="113">
        <f>+($C105*$C$80+$D105*$D$79+$E105*$E$78+$F105*$F$77+$G105*$G$76+$H105*$H$75)/SUMPRODUCT($C105:H105,$C105:H105)</f>
        <v>0.76500745061245889</v>
      </c>
      <c r="J106" s="108">
        <v>1</v>
      </c>
    </row>
    <row r="107" spans="1:12" customFormat="1" ht="14.4">
      <c r="A107" s="108">
        <f t="shared" si="8"/>
        <v>3</v>
      </c>
      <c r="B107" s="114" t="s">
        <v>122</v>
      </c>
      <c r="C107" s="115">
        <f>MMULT(D106:$J106,C$75:C$81)/SUMPRODUCT(D106:$J106,D106:$J106)</f>
        <v>2594.7300384021369</v>
      </c>
      <c r="D107" s="115">
        <f>MMULT(E106:$J106,D$75:D$80)/SUMPRODUCT(E106:$J106,E106:$J106)</f>
        <v>6732.4435646949823</v>
      </c>
      <c r="E107" s="115">
        <f>MMULT(F106:$J106,E$75:E$79)/SUMPRODUCT(F106:$J106,F106:$J106)</f>
        <v>5015.4058858511034</v>
      </c>
      <c r="F107" s="115">
        <f>MMULT(G106:$J106,F$75:F$78)/SUMPRODUCT(G106:$J106,G106:$J106)</f>
        <v>4782.4041131396334</v>
      </c>
      <c r="G107" s="115">
        <f>MMULT(H106:$J106,G$75:G$77)/SUMPRODUCT(H106:$J106,H106:$J106)</f>
        <v>2871.6429490517103</v>
      </c>
      <c r="H107" s="115">
        <f>MMULT(I106:$J106,H$75:H$76)/SUMPRODUCT(I106:$J106,I106:$J106)</f>
        <v>2569.4226017075121</v>
      </c>
      <c r="I107" s="115">
        <f>MMULT(J106:$J106,I$75:I$75)/SUMPRODUCT(J106:$J106,J106:$J106)</f>
        <v>2828</v>
      </c>
      <c r="J107" s="108"/>
    </row>
    <row r="108" spans="1:12" customFormat="1" ht="14.4">
      <c r="A108" s="108">
        <f t="shared" si="8"/>
        <v>3</v>
      </c>
      <c r="B108" s="114" t="s">
        <v>121</v>
      </c>
      <c r="C108" s="108"/>
      <c r="D108" s="113">
        <f>+($C107*$C$75)/SUMPRODUCT($C107:C107,$C107:C107)</f>
        <v>2.317004047057726</v>
      </c>
      <c r="E108" s="113">
        <f>+($C107*$C$76+$D107*$D$75)/SUMPRODUCT($C107:D107,$C107:D107)</f>
        <v>0.29716934192984601</v>
      </c>
      <c r="F108" s="113">
        <f>+($C107*$C$77+$D107*$D$76+$E107*$E$75)/SUMPRODUCT($C107:E107,$C107:E107)</f>
        <v>0.83608159652976755</v>
      </c>
      <c r="G108" s="113">
        <f>+($C107*$C$78+$D107*$D$77+$E107*$E$76+$F107*$F$75)/SUMPRODUCT($C107:F107,$C107:F107)</f>
        <v>0.47737683611868326</v>
      </c>
      <c r="H108" s="113">
        <f>+($C107*$C$79+$D107*$D$78+$E107*$E$77+$F107*$F$76+$G107*$G$75)/SUMPRODUCT($C107:G107,$C107:G107)</f>
        <v>1.1004698654119711</v>
      </c>
      <c r="I108" s="113">
        <f>+($C107*$C$80+$D107*$D$79+$E107*$E$78+$F107*$F$77+$G107*$G$76+$H107*$H$75)/SUMPRODUCT($C107:H107,$C107:H107)</f>
        <v>0.73179202153295619</v>
      </c>
      <c r="J108" s="108">
        <v>1</v>
      </c>
    </row>
    <row r="109" spans="1:12" customFormat="1" ht="14.4">
      <c r="A109" s="108">
        <f t="shared" si="8"/>
        <v>4</v>
      </c>
      <c r="B109" s="114" t="s">
        <v>122</v>
      </c>
      <c r="C109" s="115">
        <f>MMULT(D108:$J108,C$75:C$81)/SUMPRODUCT(D108:$J108,D108:$J108)</f>
        <v>2640.137875153267</v>
      </c>
      <c r="D109" s="115">
        <f>MMULT(E108:$J108,D$75:D$80)/SUMPRODUCT(E108:$J108,E108:$J108)</f>
        <v>6960.0064802207007</v>
      </c>
      <c r="E109" s="115">
        <f>MMULT(F108:$J108,E$75:E$79)/SUMPRODUCT(F108:$J108,F108:$J108)</f>
        <v>5223.2023893816304</v>
      </c>
      <c r="F109" s="115">
        <f>MMULT(G108:$J108,F$75:F$78)/SUMPRODUCT(G108:$J108,G108:$J108)</f>
        <v>4961.1127356866637</v>
      </c>
      <c r="G109" s="115">
        <f>MMULT(H108:$J108,G$75:G$77)/SUMPRODUCT(H108:$J108,H108:$J108)</f>
        <v>2967.7763665694315</v>
      </c>
      <c r="H109" s="115">
        <f>MMULT(I108:$J108,H$75:H$76)/SUMPRODUCT(I108:$J108,I108:$J108)</f>
        <v>2617.0962563859775</v>
      </c>
      <c r="I109" s="115">
        <f>MMULT(J108:$J108,I$75:I$75)/SUMPRODUCT(J108:$J108,J108:$J108)</f>
        <v>2828</v>
      </c>
      <c r="J109" s="108"/>
    </row>
    <row r="110" spans="1:12" customFormat="1" ht="14.4">
      <c r="A110" s="108">
        <f t="shared" si="8"/>
        <v>4</v>
      </c>
      <c r="B110" s="114" t="s">
        <v>121</v>
      </c>
      <c r="C110" s="108"/>
      <c r="D110" s="113">
        <f>+($C109*$C$75)/SUMPRODUCT($C109:C109,$C109:C109)</f>
        <v>2.2771538019206621</v>
      </c>
      <c r="E110" s="113">
        <f>+($C109*$C$76+$D109*$D$75)/SUMPRODUCT($C109:D109,$C109:D109)</f>
        <v>0.28854009939880559</v>
      </c>
      <c r="F110" s="113">
        <f>+($C109*$C$77+$D109*$D$76+$E109*$E$75)/SUMPRODUCT($C109:E109,$C109:E109)</f>
        <v>0.80647935348496247</v>
      </c>
      <c r="G110" s="113">
        <f>+($C109*$C$78+$D109*$D$77+$E109*$E$76+$F109*$F$75)/SUMPRODUCT($C109:F109,$C109:F109)</f>
        <v>0.45864365861407752</v>
      </c>
      <c r="H110" s="113">
        <f>+($C109*$C$79+$D109*$D$78+$E109*$E$77+$F109*$F$76+$G109*$G$75)/SUMPRODUCT($C109:G109,$C109:G109)</f>
        <v>1.063478424276062</v>
      </c>
      <c r="I110" s="113">
        <f>+($C109*$C$80+$D109*$D$79+$E109*$E$78+$F109*$F$77+$G109*$G$76+$H109*$H$75)/SUMPRODUCT($C109:H109,$C109:H109)</f>
        <v>0.70757645482043441</v>
      </c>
      <c r="J110" s="108">
        <v>1</v>
      </c>
    </row>
    <row r="111" spans="1:12" customFormat="1" ht="14.4">
      <c r="A111" s="108">
        <f t="shared" si="8"/>
        <v>5</v>
      </c>
      <c r="B111" s="114" t="s">
        <v>122</v>
      </c>
      <c r="C111" s="115">
        <f>MMULT(D110:$J110,C$75:C$81)/SUMPRODUCT(D110:$J110,D110:$J110)</f>
        <v>2688.8383303083465</v>
      </c>
      <c r="D111" s="115">
        <f>MMULT(E110:$J110,D$75:D$80)/SUMPRODUCT(E110:$J110,E110:$J110)</f>
        <v>7127.9572558251366</v>
      </c>
      <c r="E111" s="115">
        <f>MMULT(F110:$J110,E$75:E$79)/SUMPRODUCT(F110:$J110,F110:$J110)</f>
        <v>5378.0070977002551</v>
      </c>
      <c r="F111" s="115">
        <f>MMULT(G110:$J110,F$75:F$78)/SUMPRODUCT(G110:$J110,G110:$J110)</f>
        <v>5093.9669948736691</v>
      </c>
      <c r="G111" s="115">
        <f>MMULT(H110:$J110,G$75:G$77)/SUMPRODUCT(H110:$J110,H110:$J110)</f>
        <v>3039.4540930302555</v>
      </c>
      <c r="H111" s="115">
        <f>MMULT(I110:$J110,H$75:H$76)/SUMPRODUCT(I110:$J110,I110:$J110)</f>
        <v>2651.3859023426239</v>
      </c>
      <c r="I111" s="115">
        <f>MMULT(J110:$J110,I$75:I$75)/SUMPRODUCT(J110:$J110,J110:$J110)</f>
        <v>2828</v>
      </c>
      <c r="J111" s="108"/>
    </row>
    <row r="112" spans="1:12" customFormat="1" ht="14.4">
      <c r="A112" s="108">
        <f t="shared" si="8"/>
        <v>5</v>
      </c>
      <c r="B112" s="114" t="s">
        <v>121</v>
      </c>
      <c r="C112" s="108"/>
      <c r="D112" s="113">
        <f>+($C111*$C$75)/SUMPRODUCT($C111:C111,$C111:C111)</f>
        <v>2.2359098099105741</v>
      </c>
      <c r="E112" s="113">
        <f>+($C111*$C$76+$D111*$D$75)/SUMPRODUCT($C111:D111,$C111:D111)</f>
        <v>0.28210692716651548</v>
      </c>
      <c r="F112" s="113">
        <f>+($C111*$C$77+$D111*$D$76+$E111*$E$75)/SUMPRODUCT($C111:E111,$C111:E111)</f>
        <v>0.78585782590676778</v>
      </c>
      <c r="G112" s="113">
        <f>+($C111*$C$78+$D111*$D$77+$E111*$E$76+$F111*$F$75)/SUMPRODUCT($C111:F111,$C111:F111)</f>
        <v>0.4459179094886162</v>
      </c>
      <c r="H112" s="113">
        <f>+($C111*$C$79+$D111*$D$78+$E111*$E$77+$F111*$F$76+$G111*$G$75)/SUMPRODUCT($C111:G111,$C111:G111)</f>
        <v>1.0371492874289128</v>
      </c>
      <c r="I112" s="113">
        <f>+($C111*$C$80+$D111*$D$79+$E111*$E$78+$F111*$F$77+$G111*$G$76+$H111*$H$75)/SUMPRODUCT($C111:H111,$C111:H111)</f>
        <v>0.6902114301539708</v>
      </c>
      <c r="J112" s="108">
        <v>1</v>
      </c>
    </row>
    <row r="113" spans="1:12" customFormat="1" ht="14.4">
      <c r="A113" s="108">
        <f t="shared" si="8"/>
        <v>6</v>
      </c>
      <c r="B113" s="114" t="s">
        <v>122</v>
      </c>
      <c r="C113" s="115">
        <f>MMULT(D112:$J112,C$75:C$81)/SUMPRODUCT(D112:$J112,D112:$J112)</f>
        <v>2733.9146443010964</v>
      </c>
      <c r="D113" s="115">
        <f>MMULT(E112:$J112,D$75:D$80)/SUMPRODUCT(E112:$J112,E112:$J112)</f>
        <v>7249.3158074893709</v>
      </c>
      <c r="E113" s="115">
        <f>MMULT(F112:$J112,E$75:E$79)/SUMPRODUCT(F112:$J112,F112:$J112)</f>
        <v>5490.6544952331324</v>
      </c>
      <c r="F113" s="115">
        <f>MMULT(G112:$J112,F$75:F$78)/SUMPRODUCT(G112:$J112,G112:$J112)</f>
        <v>5190.4757213546227</v>
      </c>
      <c r="G113" s="115">
        <f>MMULT(H112:$J112,G$75:G$77)/SUMPRODUCT(H112:$J112,H112:$J112)</f>
        <v>3091.6284065283517</v>
      </c>
      <c r="H113" s="115">
        <f>MMULT(I112:$J112,H$75:H$76)/SUMPRODUCT(I112:$J112,I112:$J112)</f>
        <v>2675.6631398979198</v>
      </c>
      <c r="I113" s="115">
        <f>MMULT(J112:$J112,I$75:I$75)/SUMPRODUCT(J112:$J112,J112:$J112)</f>
        <v>2828</v>
      </c>
      <c r="J113" s="108"/>
    </row>
    <row r="114" spans="1:12" customFormat="1" ht="14.4">
      <c r="A114" s="108">
        <f t="shared" si="8"/>
        <v>6</v>
      </c>
      <c r="B114" s="114" t="s">
        <v>121</v>
      </c>
      <c r="C114" s="108"/>
      <c r="D114" s="113">
        <f>+($C113*$C$75)/SUMPRODUCT($C113:C113,$C113:C113)</f>
        <v>2.1990445138922472</v>
      </c>
      <c r="E114" s="113">
        <f>+($C113*$C$76+$D113*$D$75)/SUMPRODUCT($C113:D113,$C113:D113)</f>
        <v>0.27740078765664039</v>
      </c>
      <c r="F114" s="113">
        <f>+($C113*$C$77+$D113*$D$76+$E113*$E$75)/SUMPRODUCT($C113:E113,$C113:E113)</f>
        <v>0.77157108516452766</v>
      </c>
      <c r="G114" s="113">
        <f>+($C113*$C$78+$D113*$D$77+$E113*$E$76+$F113*$F$75)/SUMPRODUCT($C113:F113,$C113:F113)</f>
        <v>0.4372895250790334</v>
      </c>
      <c r="H114" s="113">
        <f>+($C113*$C$79+$D113*$D$78+$E113*$E$77+$F113*$F$76+$G113*$G$75)/SUMPRODUCT($C113:G113,$C113:G113)</f>
        <v>1.0185800886961911</v>
      </c>
      <c r="I114" s="113">
        <f>+($C113*$C$80+$D113*$D$79+$E113*$E$78+$F113*$F$77+$G113*$G$76+$H113*$H$75)/SUMPRODUCT($C113:H113,$C113:H113)</f>
        <v>0.67789178250595239</v>
      </c>
      <c r="J114" s="108">
        <v>1</v>
      </c>
    </row>
    <row r="115" spans="1:12" customFormat="1" ht="14.4">
      <c r="A115" s="108">
        <f t="shared" si="8"/>
        <v>7</v>
      </c>
      <c r="B115" s="114" t="s">
        <v>122</v>
      </c>
      <c r="C115" s="115">
        <f>MMULT(D114:$J114,C$75:C$81)/SUMPRODUCT(D114:$J114,D114:$J114)</f>
        <v>2772.4464865393152</v>
      </c>
      <c r="D115" s="115">
        <f>MMULT(E114:$J114,D$75:D$80)/SUMPRODUCT(E114:$J114,E114:$J114)</f>
        <v>7335.6734070546308</v>
      </c>
      <c r="E115" s="115">
        <f>MMULT(F114:$J114,E$75:E$79)/SUMPRODUCT(F114:$J114,F114:$J114)</f>
        <v>5571.192796729526</v>
      </c>
      <c r="F115" s="115">
        <f>MMULT(G114:$J114,F$75:F$78)/SUMPRODUCT(G114:$J114,G114:$J114)</f>
        <v>5259.4335045240468</v>
      </c>
      <c r="G115" s="115">
        <f>MMULT(H114:$J114,G$75:G$77)/SUMPRODUCT(H114:$J114,H114:$J114)</f>
        <v>3128.9881751109319</v>
      </c>
      <c r="H115" s="115">
        <f>MMULT(I114:$J114,H$75:H$76)/SUMPRODUCT(I114:$J114,I114:$J114)</f>
        <v>2692.7015780387524</v>
      </c>
      <c r="I115" s="115">
        <f>MMULT(J114:$J114,I$75:I$75)/SUMPRODUCT(J114:$J114,J114:$J114)</f>
        <v>2828</v>
      </c>
      <c r="J115" s="108"/>
      <c r="K115" s="86"/>
    </row>
    <row r="116" spans="1:12" customFormat="1" ht="14.4">
      <c r="A116" s="108">
        <f t="shared" si="8"/>
        <v>7</v>
      </c>
      <c r="B116" s="114" t="s">
        <v>121</v>
      </c>
      <c r="C116" s="108"/>
      <c r="D116" s="113">
        <f>+($C115*$C$75)/SUMPRODUCT($C115:C115,$C115:C115)</f>
        <v>2.1684818910623709</v>
      </c>
      <c r="E116" s="113">
        <f>+($C115*$C$76+$D115*$D$75)/SUMPRODUCT($C115:D115,$C115:D115)</f>
        <v>0.27399817411729177</v>
      </c>
      <c r="F116" s="113">
        <f>+($C115*$C$77+$D115*$D$76+$E115*$E$75)/SUMPRODUCT($C115:E115,$C115:E115)</f>
        <v>0.76170752338111813</v>
      </c>
      <c r="G116" s="113">
        <f>+($C115*$C$78+$D115*$D$77+$E115*$E$76+$F115*$F$75)/SUMPRODUCT($C115:F115,$C115:F115)</f>
        <v>0.4314464277287397</v>
      </c>
      <c r="H116" s="113">
        <f>+($C115*$C$79+$D115*$D$78+$E115*$E$77+$F115*$F$76+$G115*$G$75)/SUMPRODUCT($C115:G115,$C115:G115)</f>
        <v>1.0055591668177999</v>
      </c>
      <c r="I116" s="113">
        <f>+($C115*$C$80+$D115*$D$79+$E115*$E$78+$F115*$F$77+$G115*$G$76+$H115*$H$75)/SUMPRODUCT($C115:H115,$C115:H115)</f>
        <v>0.66921039841990526</v>
      </c>
      <c r="J116" s="108">
        <v>1</v>
      </c>
    </row>
    <row r="117" spans="1:12" customFormat="1" ht="14.4">
      <c r="A117" s="108">
        <f t="shared" si="8"/>
        <v>8</v>
      </c>
      <c r="B117" s="114" t="s">
        <v>122</v>
      </c>
      <c r="C117" s="115">
        <f>MMULT(D116:$J116,C$75:C$81)/SUMPRODUCT(D116:$J116,D116:$J116)</f>
        <v>2803.7206437482823</v>
      </c>
      <c r="D117" s="115">
        <f>MMULT(E116:$J116,D$75:D$80)/SUMPRODUCT(E116:$J116,E116:$J116)</f>
        <v>7396.5184959189928</v>
      </c>
      <c r="E117" s="115">
        <f>MMULT(F116:$J116,E$75:E$79)/SUMPRODUCT(F116:$J116,F116:$J116)</f>
        <v>5628.0987890384686</v>
      </c>
      <c r="F117" s="115">
        <f>MMULT(G116:$J116,F$75:F$78)/SUMPRODUCT(G116:$J116,G116:$J116)</f>
        <v>5308.1747090450972</v>
      </c>
      <c r="G117" s="115">
        <f>MMULT(H116:$J116,G$75:G$77)/SUMPRODUCT(H116:$J116,H116:$J116)</f>
        <v>3155.4590706196354</v>
      </c>
      <c r="H117" s="115">
        <f>MMULT(I116:$J116,H$75:H$76)/SUMPRODUCT(I116:$J116,I116:$J116)</f>
        <v>2704.6058663752001</v>
      </c>
      <c r="I117" s="115">
        <f>MMULT(J116:$J116,I$75:I$75)/SUMPRODUCT(J116:$J116,J116:$J116)</f>
        <v>2828</v>
      </c>
      <c r="J117" s="108"/>
    </row>
    <row r="118" spans="1:12" customFormat="1" ht="14.4">
      <c r="A118" s="108">
        <f t="shared" si="8"/>
        <v>8</v>
      </c>
      <c r="B118" s="114" t="s">
        <v>121</v>
      </c>
      <c r="C118" s="108"/>
      <c r="D118" s="113">
        <f>+($C117*$C$75)/SUMPRODUCT($C117:C117,$C117:C117)</f>
        <v>2.1442935170468989</v>
      </c>
      <c r="E118" s="113">
        <f>+($C117*$C$76+$D117*$D$75)/SUMPRODUCT($C117:D117,$C117:D117)</f>
        <v>0.27155693039905066</v>
      </c>
      <c r="F118" s="113">
        <f>+($C117*$C$77+$D117*$D$76+$E117*$E$75)/SUMPRODUCT($C117:E117,$C117:E117)</f>
        <v>0.75490612855502881</v>
      </c>
      <c r="G118" s="113">
        <f>+($C117*$C$78+$D117*$D$77+$E117*$E$76+$F117*$F$75)/SUMPRODUCT($C117:F117,$C117:F117)</f>
        <v>0.42748704935211329</v>
      </c>
      <c r="H118" s="113">
        <f>+($C117*$C$79+$D117*$D$78+$E117*$E$77+$F117*$F$76+$G117*$G$75)/SUMPRODUCT($C117:G117,$C117:G117)</f>
        <v>0.99645726939399337</v>
      </c>
      <c r="I118" s="113">
        <f>+($C117*$C$80+$D117*$D$79+$E117*$E$78+$F117*$F$77+$G117*$G$76+$H117*$H$75)/SUMPRODUCT($C117:H117,$C117:H117)</f>
        <v>0.66311665171948797</v>
      </c>
      <c r="J118" s="108">
        <v>1</v>
      </c>
    </row>
    <row r="119" spans="1:12" customFormat="1" ht="14.4">
      <c r="A119" s="108">
        <f t="shared" si="8"/>
        <v>9</v>
      </c>
      <c r="B119" s="114" t="s">
        <v>122</v>
      </c>
      <c r="C119" s="115">
        <f>MMULT(D118:$J118,C$75:C$81)/SUMPRODUCT(D118:$J118,D118:$J118)</f>
        <v>2828.1895191865965</v>
      </c>
      <c r="D119" s="115">
        <f>MMULT(E118:$J118,D$75:D$80)/SUMPRODUCT(E118:$J118,E118:$J118)</f>
        <v>7439.1432416740618</v>
      </c>
      <c r="E119" s="115">
        <f>MMULT(F118:$J118,E$75:E$79)/SUMPRODUCT(F118:$J118,F118:$J118)</f>
        <v>5668.0218780148925</v>
      </c>
      <c r="F119" s="115">
        <f>MMULT(G118:$J118,F$75:F$78)/SUMPRODUCT(G118:$J118,G118:$J118)</f>
        <v>5342.4041991331233</v>
      </c>
      <c r="G119" s="115">
        <f>MMULT(H118:$J118,G$75:G$77)/SUMPRODUCT(H118:$J118,H118:$J118)</f>
        <v>3174.0967761933057</v>
      </c>
      <c r="H119" s="115">
        <f>MMULT(I118:$J118,H$75:H$76)/SUMPRODUCT(I118:$J118,I118:$J118)</f>
        <v>2712.9077329052038</v>
      </c>
      <c r="I119" s="115">
        <f>MMULT(J118:$J118,I$75:I$75)/SUMPRODUCT(J118:$J118,J118:$J118)</f>
        <v>2828</v>
      </c>
      <c r="J119" s="108"/>
    </row>
    <row r="120" spans="1:12" customFormat="1" ht="14.4">
      <c r="A120" s="108">
        <f t="shared" si="8"/>
        <v>9</v>
      </c>
      <c r="B120" s="114" t="s">
        <v>121</v>
      </c>
      <c r="C120" s="108"/>
      <c r="D120" s="113">
        <f>+($C119*$C$75)/SUMPRODUCT($C119:C119,$C119:C119)</f>
        <v>2.1257415598262615</v>
      </c>
      <c r="E120" s="113">
        <f>+($C119*$C$76+$D119*$D$75)/SUMPRODUCT($C119:D119,$C119:D119)</f>
        <v>0.26981476318601183</v>
      </c>
      <c r="F120" s="113">
        <f>+($C119*$C$77+$D119*$D$76+$E119*$E$75)/SUMPRODUCT($C119:E119,$C119:E119)</f>
        <v>0.75021386800045387</v>
      </c>
      <c r="G120" s="113">
        <f>+($C119*$C$78+$D119*$D$77+$E119*$E$76+$F119*$F$75)/SUMPRODUCT($C119:F119,$C119:F119)</f>
        <v>0.42479774789527974</v>
      </c>
      <c r="H120" s="113">
        <f>+($C119*$C$79+$D119*$D$78+$E119*$E$77+$F119*$F$76+$G119*$G$75)/SUMPRODUCT($C119:G119,$C119:G119)</f>
        <v>0.99010307743377113</v>
      </c>
      <c r="I120" s="113">
        <f>+($C119*$C$80+$D119*$D$79+$E119*$E$78+$F119*$F$77+$G119*$G$76+$H119*$H$75)/SUMPRODUCT($C119:H119,$C119:H119)</f>
        <v>0.65884768718094988</v>
      </c>
      <c r="J120" s="108">
        <v>1</v>
      </c>
    </row>
    <row r="121" spans="1:12" customFormat="1" ht="14.4">
      <c r="A121" s="108">
        <f t="shared" si="8"/>
        <v>10</v>
      </c>
      <c r="B121" s="114" t="s">
        <v>122</v>
      </c>
      <c r="C121" s="115">
        <f>MMULT(D120:$J120,C$75:C$81)/SUMPRODUCT(D120:$J120,D120:$J120)</f>
        <v>2846.8253014038337</v>
      </c>
      <c r="D121" s="115">
        <f>MMULT(E120:$J120,D$75:D$80)/SUMPRODUCT(E120:$J120,E120:$J120)</f>
        <v>7468.9193105845552</v>
      </c>
      <c r="E121" s="115">
        <f>MMULT(F120:$J120,E$75:E$79)/SUMPRODUCT(F120:$J120,F120:$J120)</f>
        <v>5695.9254966500157</v>
      </c>
      <c r="F121" s="115">
        <f>MMULT(G120:$J120,F$75:F$78)/SUMPRODUCT(G120:$J120,G120:$J120)</f>
        <v>5366.360518198594</v>
      </c>
      <c r="G121" s="115">
        <f>MMULT(H120:$J120,G$75:G$77)/SUMPRODUCT(H120:$J120,H120:$J120)</f>
        <v>3187.1741662990726</v>
      </c>
      <c r="H121" s="115">
        <f>MMULT(I120:$J120,H$75:H$76)/SUMPRODUCT(I120:$J120,I120:$J120)</f>
        <v>2718.6957177923432</v>
      </c>
      <c r="I121" s="115">
        <f>MMULT(J120:$J120,I$75:I$75)/SUMPRODUCT(J120:$J120,J120:$J120)</f>
        <v>2828</v>
      </c>
      <c r="J121" s="108"/>
    </row>
    <row r="122" spans="1:12" customFormat="1" ht="14.4">
      <c r="A122" s="108">
        <f t="shared" si="8"/>
        <v>10</v>
      </c>
      <c r="B122" s="114" t="s">
        <v>121</v>
      </c>
      <c r="C122" s="108"/>
      <c r="D122" s="113">
        <f>+($C121*$C$75)/SUMPRODUCT($C121:C121,$C121:C121)</f>
        <v>2.1118261092576871</v>
      </c>
      <c r="E122" s="113">
        <f>+($C121*$C$76+$D121*$D$75)/SUMPRODUCT($C121:D121,$C121:D121)</f>
        <v>0.26857626066216311</v>
      </c>
      <c r="F122" s="113">
        <f>+($C121*$C$77+$D121*$D$76+$E121*$E$75)/SUMPRODUCT($C121:E121,$C121:E121)</f>
        <v>0.74697150435079229</v>
      </c>
      <c r="G122" s="113">
        <f>+($C121*$C$78+$D121*$D$77+$E121*$E$76+$F121*$F$75)/SUMPRODUCT($C121:F121,$C121:F121)</f>
        <v>0.42296460994677937</v>
      </c>
      <c r="H122" s="113">
        <f>+($C121*$C$79+$D121*$D$78+$E121*$E$77+$F121*$F$76+$G121*$G$75)/SUMPRODUCT($C121:G121,$C121:G121)</f>
        <v>0.9856677741488199</v>
      </c>
      <c r="I122" s="113">
        <f>+($C121*$C$80+$D121*$D$79+$E121*$E$78+$F121*$F$77+$G121*$G$76+$H121*$H$75)/SUMPRODUCT($C121:H121,$C121:H121)</f>
        <v>0.65585933765049409</v>
      </c>
      <c r="J122" s="108">
        <v>1</v>
      </c>
    </row>
    <row r="123" spans="1:12" customFormat="1" ht="14.4">
      <c r="A123" s="108">
        <f t="shared" si="8"/>
        <v>11</v>
      </c>
      <c r="B123" s="114" t="s">
        <v>122</v>
      </c>
      <c r="C123" s="115">
        <f>MMULT(D122:$J122,C$75:C$81)/SUMPRODUCT(D122:$J122,D122:$J122)</f>
        <v>2860.7370086492469</v>
      </c>
      <c r="D123" s="115">
        <f>MMULT(E122:$J122,D$75:D$80)/SUMPRODUCT(E122:$J122,E122:$J122)</f>
        <v>7489.6990674968729</v>
      </c>
      <c r="E123" s="115">
        <f>MMULT(F122:$J122,E$75:E$79)/SUMPRODUCT(F122:$J122,F122:$J122)</f>
        <v>5715.3980799352912</v>
      </c>
      <c r="F123" s="115">
        <f>MMULT(G122:$J122,F$75:F$78)/SUMPRODUCT(G122:$J122,G122:$J122)</f>
        <v>5383.1026108622</v>
      </c>
      <c r="G123" s="115">
        <f>MMULT(H122:$J122,G$75:G$77)/SUMPRODUCT(H122:$J122,H122:$J122)</f>
        <v>3196.3351973864405</v>
      </c>
      <c r="H123" s="115">
        <f>MMULT(I122:$J122,H$75:H$76)/SUMPRODUCT(I122:$J122,I122:$J122)</f>
        <v>2722.7332992142942</v>
      </c>
      <c r="I123" s="115">
        <f>MMULT(J122:$J122,I$75:I$75)/SUMPRODUCT(J122:$J122,J122:$J122)</f>
        <v>2828</v>
      </c>
      <c r="J123" s="108"/>
    </row>
    <row r="124" spans="1:12" customFormat="1" ht="14.4">
      <c r="A124" s="108">
        <f t="shared" si="8"/>
        <v>11</v>
      </c>
      <c r="B124" s="114" t="s">
        <v>121</v>
      </c>
      <c r="C124" s="108"/>
      <c r="D124" s="113">
        <f>+($C123*$C$75)/SUMPRODUCT($C123:C123,$C123:C123)</f>
        <v>2.1015563408391333</v>
      </c>
      <c r="E124" s="113">
        <f>+($C123*$C$76+$D123*$D$75)/SUMPRODUCT($C123:D123,$C123:D123)</f>
        <v>0.26769830897332897</v>
      </c>
      <c r="F124" s="113">
        <f>+($C123*$C$77+$D123*$D$76+$E123*$E$75)/SUMPRODUCT($C123:E123,$C123:E123)</f>
        <v>0.74472621782214943</v>
      </c>
      <c r="G124" s="113">
        <f>+($C123*$C$78+$D123*$D$77+$E123*$E$76+$F123*$F$75)/SUMPRODUCT($C123:F123,$C123:F123)</f>
        <v>0.4217099085384079</v>
      </c>
      <c r="H124" s="113">
        <f>+($C123*$C$79+$D123*$D$78+$E123*$E$77+$F123*$F$76+$G123*$G$75)/SUMPRODUCT($C123:G123,$C123:G123)</f>
        <v>0.98257037776121603</v>
      </c>
      <c r="I124" s="113">
        <f>+($C123*$C$80+$D123*$D$79+$E123*$E$78+$F123*$F$77+$G123*$G$76+$H123*$H$75)/SUMPRODUCT($C123:H123,$C123:H123)</f>
        <v>0.65376754532658898</v>
      </c>
      <c r="J124" s="108">
        <v>1</v>
      </c>
    </row>
    <row r="125" spans="1:12" customFormat="1" ht="14.4">
      <c r="A125" s="108">
        <f t="shared" si="8"/>
        <v>12</v>
      </c>
      <c r="B125" s="114" t="s">
        <v>122</v>
      </c>
      <c r="C125" s="115">
        <f>MMULT(D124:$J124,C$75:C$81)/SUMPRODUCT(D124:$J124,D124:$J124)</f>
        <v>2870.9678461217904</v>
      </c>
      <c r="D125" s="115">
        <f>MMULT(E124:$J124,D$75:D$80)/SUMPRODUCT(E124:$J124,E124:$J124)</f>
        <v>7504.2016359978807</v>
      </c>
      <c r="E125" s="115">
        <f>MMULT(F124:$J124,E$75:E$79)/SUMPRODUCT(F124:$J124,F124:$J124)</f>
        <v>5728.9839835552402</v>
      </c>
      <c r="F125" s="115">
        <f>MMULT(G124:$J124,F$75:F$78)/SUMPRODUCT(G124:$J124,G124:$J124)</f>
        <v>5394.7997375648774</v>
      </c>
      <c r="G125" s="115">
        <f>MMULT(H124:$J124,G$75:G$77)/SUMPRODUCT(H124:$J124,H124:$J124)</f>
        <v>3202.7492566843971</v>
      </c>
      <c r="H125" s="115">
        <f>MMULT(I124:$J124,H$75:H$76)/SUMPRODUCT(I124:$J124,I124:$J124)</f>
        <v>2725.5524686432577</v>
      </c>
      <c r="I125" s="115">
        <f>MMULT(J124:$J124,I$75:I$75)/SUMPRODUCT(J124:$J124,J124:$J124)</f>
        <v>2828</v>
      </c>
      <c r="J125" s="108"/>
    </row>
    <row r="126" spans="1:12" customFormat="1" ht="14.4">
      <c r="A126" s="108">
        <f t="shared" si="8"/>
        <v>12</v>
      </c>
      <c r="B126" s="114" t="s">
        <v>121</v>
      </c>
      <c r="C126" s="108"/>
      <c r="D126" s="113">
        <f>+($C125*$C$75)/SUMPRODUCT($C125:C125,$C125:C125)</f>
        <v>2.0940673397374447</v>
      </c>
      <c r="E126" s="113">
        <f>+($C125*$C$76+$D125*$D$75)/SUMPRODUCT($C125:D125,$C125:D125)</f>
        <v>0.26707726013755878</v>
      </c>
      <c r="F126" s="113">
        <f>+($C125*$C$77+$D125*$D$76+$E125*$E$75)/SUMPRODUCT($C125:E125,$C125:E125)</f>
        <v>0.74316782711979446</v>
      </c>
      <c r="G126" s="113">
        <f>+($C125*$C$78+$D125*$D$77+$E125*$E$76+$F125*$F$75)/SUMPRODUCT($C125:F125,$C125:F125)</f>
        <v>0.42084751400777459</v>
      </c>
      <c r="H126" s="113">
        <f>+($C125*$C$79+$D125*$D$78+$E125*$E$77+$F125*$F$76+$G125*$G$75)/SUMPRODUCT($C125:G125,$C125:G125)</f>
        <v>0.98040561484130195</v>
      </c>
      <c r="I126" s="113">
        <f>+($C125*$C$80+$D125*$D$79+$E125*$E$78+$F125*$F$77+$G125*$G$76+$H125*$H$75)/SUMPRODUCT($C125:H125,$C125:H125)</f>
        <v>0.65230285235836249</v>
      </c>
      <c r="J126" s="108">
        <v>1</v>
      </c>
    </row>
    <row r="127" spans="1:12" customFormat="1" ht="14.4">
      <c r="A127" s="108">
        <f t="shared" si="8"/>
        <v>13</v>
      </c>
      <c r="B127" s="111" t="s">
        <v>122</v>
      </c>
      <c r="C127" s="112">
        <f>MMULT(D126:$J126,C$75:C$81)/SUMPRODUCT(D126:$J126,D126:$J126)</f>
        <v>2878.4079496837298</v>
      </c>
      <c r="D127" s="112">
        <f>MMULT(E126:$J126,D$75:D$80)/SUMPRODUCT(E126:$J126,E126:$J126)</f>
        <v>7514.3295833373759</v>
      </c>
      <c r="E127" s="112">
        <f>MMULT(F126:$J126,E$75:E$79)/SUMPRODUCT(F126:$J126,F126:$J126)</f>
        <v>5738.4674741020381</v>
      </c>
      <c r="F127" s="112">
        <f>MMULT(G126:$J126,F$75:F$78)/SUMPRODUCT(G126:$J126,G126:$J126)</f>
        <v>5402.9750723735942</v>
      </c>
      <c r="G127" s="112">
        <f>MMULT(H126:$J126,G$75:G$77)/SUMPRODUCT(H126:$J126,H126:$J126)</f>
        <v>3207.2403109381648</v>
      </c>
      <c r="H127" s="112">
        <f>MMULT(I126:$J126,H$75:H$76)/SUMPRODUCT(I126:$J126,I126:$J126)</f>
        <v>2727.522960758447</v>
      </c>
      <c r="I127" s="112">
        <f>MMULT(J126:$J126,I$75:I$75)/SUMPRODUCT(J126:$J126,J126:$J126)</f>
        <v>2828</v>
      </c>
      <c r="J127" s="109"/>
    </row>
    <row r="128" spans="1:12" customFormat="1" ht="14.4">
      <c r="A128" s="108">
        <f t="shared" si="8"/>
        <v>13</v>
      </c>
      <c r="B128" s="111" t="s">
        <v>121</v>
      </c>
      <c r="C128" s="109"/>
      <c r="D128" s="110">
        <f>+($C127*$C$75)/SUMPRODUCT($C127:C127,$C127:C127)</f>
        <v>2.088654598338147</v>
      </c>
      <c r="E128" s="110">
        <f>+($C127*$C$76+$D127*$D$75)/SUMPRODUCT($C127:D127,$C127:D127)</f>
        <v>0.26663863186305176</v>
      </c>
      <c r="F128" s="110">
        <f>+($C127*$C$77+$D127*$D$76+$E127*$E$75)/SUMPRODUCT($C127:E127,$C127:E127)</f>
        <v>0.74208381407471757</v>
      </c>
      <c r="G128" s="110">
        <f>+($C127*$C$78+$D127*$D$77+$E127*$E$76+$F127*$F$75)/SUMPRODUCT($C127:F127,$C127:F127)</f>
        <v>0.42025242708563471</v>
      </c>
      <c r="H128" s="110">
        <f>+($C127*$C$79+$D127*$D$78+$E127*$E$77+$F127*$F$76+$G127*$G$75)/SUMPRODUCT($C127:G127,$C127:G127)</f>
        <v>0.97889134068358774</v>
      </c>
      <c r="I128" s="110">
        <f>+($C127*$C$80+$D127*$D$79+$E127*$E$78+$F127*$F$77+$G127*$G$76+$H127*$H$75)/SUMPRODUCT($C127:H127,$C127:H127)</f>
        <v>0.65127675540815622</v>
      </c>
      <c r="J128" s="109">
        <v>1</v>
      </c>
      <c r="L128" s="108" t="s">
        <v>120</v>
      </c>
    </row>
    <row r="129" spans="1:10" customFormat="1" ht="14.4">
      <c r="A129" s="108"/>
      <c r="B129" s="108"/>
      <c r="C129" s="108"/>
      <c r="D129" s="108"/>
      <c r="E129" s="108"/>
      <c r="F129" s="108"/>
      <c r="G129" s="108"/>
      <c r="H129" s="108"/>
      <c r="I129" s="108"/>
      <c r="J129" s="108"/>
    </row>
    <row r="130" spans="1:10" customFormat="1" ht="14.4"/>
    <row r="131" spans="1:10" customFormat="1" ht="14.4"/>
    <row r="132" spans="1:10" customFormat="1" ht="14.4"/>
    <row r="133" spans="1:10" customFormat="1" ht="14.4"/>
    <row r="134" spans="1:10" customFormat="1" ht="14.4">
      <c r="E134" s="106"/>
      <c r="F134" s="106"/>
      <c r="G134" s="106"/>
      <c r="H134" s="106"/>
      <c r="I134" s="106"/>
    </row>
    <row r="135" spans="1:10" customFormat="1" ht="14.4">
      <c r="E135" s="107"/>
      <c r="F135" s="107"/>
      <c r="G135" s="107"/>
      <c r="H135" s="107"/>
      <c r="I135" s="107"/>
    </row>
    <row r="136" spans="1:10" customFormat="1" ht="14.4">
      <c r="E136" s="106"/>
      <c r="F136" s="106"/>
      <c r="G136" s="106"/>
      <c r="H136" s="106"/>
      <c r="I136" s="106"/>
    </row>
    <row r="137" spans="1:10" customFormat="1" ht="14.4"/>
    <row r="138" spans="1:10" customFormat="1" ht="14.4"/>
    <row r="139" spans="1:10" customFormat="1" ht="14.4"/>
    <row r="140" spans="1:10" customFormat="1" ht="14.4"/>
    <row r="141" spans="1:10" customFormat="1" ht="14.4"/>
    <row r="142" spans="1:10" customFormat="1" ht="14.4"/>
    <row r="143" spans="1:10" customFormat="1" ht="14.4"/>
    <row r="144" spans="1:10" customFormat="1" ht="14.4"/>
    <row r="145" customFormat="1" ht="14.4"/>
    <row r="146" customFormat="1" ht="14.4"/>
    <row r="147" customFormat="1" ht="14.4"/>
    <row r="148" customFormat="1" ht="14.4"/>
    <row r="149" customFormat="1" ht="14.4"/>
    <row r="150" customFormat="1" ht="14.4"/>
    <row r="151" customFormat="1" ht="14.4"/>
    <row r="152" customFormat="1" ht="14.4"/>
    <row r="153" customFormat="1" ht="14.4"/>
    <row r="154" customFormat="1" ht="14.4"/>
    <row r="155" customFormat="1" ht="14.4"/>
    <row r="156" customFormat="1" ht="14.4"/>
    <row r="157" customFormat="1" ht="14.4"/>
    <row r="158" customFormat="1" ht="14.4"/>
    <row r="159" customFormat="1" ht="14.4"/>
    <row r="160" customFormat="1" ht="14.4"/>
    <row r="161" customFormat="1" ht="14.4"/>
    <row r="162" customFormat="1" ht="14.4"/>
    <row r="163" customFormat="1" ht="14.4"/>
    <row r="164" customFormat="1" ht="14.4"/>
    <row r="165" customFormat="1" ht="14.4"/>
    <row r="166" customFormat="1" ht="14.4"/>
    <row r="167" customFormat="1" ht="14.4"/>
    <row r="168" customFormat="1" ht="14.4"/>
    <row r="169" customFormat="1" ht="14.4"/>
    <row r="170" customFormat="1" ht="14.4"/>
    <row r="171" customFormat="1" ht="14.4"/>
    <row r="172" customFormat="1" ht="14.4"/>
    <row r="173" customFormat="1" ht="14.4"/>
    <row r="174" customFormat="1" ht="14.4"/>
    <row r="175" customFormat="1" ht="14.4"/>
    <row r="176" customFormat="1" ht="14.4"/>
    <row r="177" customFormat="1" ht="14.4"/>
    <row r="178" customFormat="1" ht="14.4"/>
    <row r="179" customFormat="1" ht="14.4"/>
    <row r="180" customFormat="1" ht="14.4"/>
    <row r="181" customFormat="1" ht="14.4"/>
    <row r="182" customFormat="1" ht="14.4"/>
    <row r="183" customFormat="1" ht="14.4"/>
    <row r="184" customFormat="1" ht="14.4"/>
    <row r="185" customFormat="1" ht="14.4"/>
    <row r="186" customFormat="1" ht="14.4"/>
    <row r="187" customFormat="1" ht="14.4"/>
    <row r="188" customFormat="1" ht="14.4"/>
    <row r="189" customFormat="1" ht="14.4"/>
    <row r="190" customFormat="1" ht="14.4"/>
    <row r="191" customFormat="1" ht="14.4"/>
    <row r="192" customFormat="1" ht="14.4"/>
    <row r="193" customFormat="1" ht="14.4"/>
    <row r="194" customFormat="1" ht="14.4"/>
    <row r="195" customFormat="1" ht="14.4"/>
    <row r="196" customFormat="1" ht="14.4"/>
    <row r="197" customFormat="1" ht="14.4"/>
    <row r="198" customFormat="1" ht="14.4"/>
    <row r="199" customFormat="1" ht="14.4"/>
    <row r="200" customFormat="1" ht="14.4"/>
    <row r="201" customFormat="1" ht="14.4"/>
    <row r="202" customFormat="1" ht="14.4"/>
    <row r="203" customFormat="1" ht="14.4"/>
    <row r="204" customFormat="1" ht="14.4"/>
    <row r="205" customFormat="1" ht="14.4"/>
    <row r="206" customFormat="1" ht="14.4"/>
    <row r="207" customFormat="1" ht="14.4"/>
    <row r="208" customFormat="1" ht="14.4"/>
    <row r="209" spans="1:12" customFormat="1" ht="14.4"/>
    <row r="210" spans="1:12" customFormat="1" ht="14.4"/>
    <row r="211" spans="1:12">
      <c r="A211"/>
      <c r="B211"/>
      <c r="C211"/>
      <c r="D211"/>
      <c r="E211"/>
      <c r="F211"/>
      <c r="G211"/>
      <c r="H211"/>
      <c r="I211"/>
      <c r="J211"/>
      <c r="K211"/>
      <c r="L211"/>
    </row>
    <row r="212" spans="1:12">
      <c r="A212"/>
      <c r="B212"/>
      <c r="C212"/>
      <c r="D212"/>
      <c r="E212"/>
      <c r="F212"/>
      <c r="G212"/>
      <c r="H212"/>
      <c r="I212"/>
      <c r="J212"/>
      <c r="K212"/>
      <c r="L212"/>
    </row>
    <row r="213" spans="1:12">
      <c r="A213"/>
      <c r="B213"/>
      <c r="C213"/>
      <c r="D213"/>
      <c r="E213"/>
      <c r="F213"/>
      <c r="G213"/>
      <c r="H213"/>
      <c r="I213"/>
      <c r="J213"/>
      <c r="K213"/>
      <c r="L213"/>
    </row>
    <row r="214" spans="1:12">
      <c r="A214"/>
      <c r="B214"/>
      <c r="C214"/>
      <c r="D214"/>
      <c r="E214"/>
      <c r="F214"/>
      <c r="G214"/>
      <c r="H214"/>
      <c r="I214"/>
      <c r="J214"/>
      <c r="K214"/>
      <c r="L214"/>
    </row>
    <row r="215" spans="1:12">
      <c r="A215"/>
      <c r="B215"/>
      <c r="C215"/>
      <c r="D215"/>
      <c r="E215"/>
      <c r="F215"/>
      <c r="G215"/>
      <c r="H215"/>
      <c r="I215"/>
      <c r="J215"/>
      <c r="K215"/>
      <c r="L215"/>
    </row>
    <row r="216" spans="1:12">
      <c r="A216"/>
      <c r="B216"/>
      <c r="C216"/>
      <c r="D216"/>
      <c r="E216"/>
      <c r="F216"/>
      <c r="G216"/>
      <c r="H216"/>
      <c r="I216"/>
      <c r="J216"/>
      <c r="K216"/>
      <c r="L216"/>
    </row>
    <row r="217" spans="1:12">
      <c r="A217"/>
      <c r="B217"/>
      <c r="C217"/>
      <c r="D217"/>
      <c r="E217"/>
      <c r="F217"/>
      <c r="G217"/>
      <c r="H217"/>
      <c r="I217"/>
      <c r="J217"/>
      <c r="K217"/>
      <c r="L217"/>
    </row>
    <row r="218" spans="1:12">
      <c r="A218"/>
      <c r="B218"/>
      <c r="C218"/>
      <c r="D218"/>
      <c r="E218"/>
      <c r="F218"/>
      <c r="G218"/>
      <c r="H218"/>
      <c r="I218"/>
      <c r="J218"/>
      <c r="K218"/>
      <c r="L218"/>
    </row>
    <row r="219" spans="1:12">
      <c r="A219"/>
      <c r="B219"/>
      <c r="C219"/>
      <c r="D219"/>
      <c r="E219"/>
      <c r="F219"/>
      <c r="G219"/>
      <c r="H219"/>
      <c r="I219"/>
      <c r="J219"/>
      <c r="K219"/>
      <c r="L219"/>
    </row>
    <row r="220" spans="1:12">
      <c r="A220"/>
      <c r="B220"/>
      <c r="C220"/>
      <c r="D220"/>
      <c r="E220"/>
      <c r="F220"/>
      <c r="G220"/>
      <c r="H220"/>
      <c r="I220"/>
      <c r="J220"/>
      <c r="K220"/>
      <c r="L220"/>
    </row>
    <row r="221" spans="1:12">
      <c r="A221"/>
      <c r="B221"/>
      <c r="C221"/>
      <c r="D221"/>
      <c r="E221"/>
      <c r="F221"/>
      <c r="G221"/>
      <c r="H221"/>
      <c r="I221"/>
      <c r="J221"/>
      <c r="K221"/>
      <c r="L221"/>
    </row>
    <row r="222" spans="1:12">
      <c r="A222"/>
      <c r="B222"/>
      <c r="C222"/>
      <c r="D222"/>
      <c r="E222"/>
      <c r="F222"/>
      <c r="G222"/>
      <c r="H222"/>
      <c r="I222"/>
      <c r="J222"/>
      <c r="K222"/>
      <c r="L222"/>
    </row>
    <row r="223" spans="1:12">
      <c r="A223"/>
      <c r="B223"/>
      <c r="C223"/>
      <c r="D223"/>
      <c r="E223"/>
      <c r="F223"/>
      <c r="G223"/>
      <c r="H223"/>
      <c r="I223"/>
      <c r="J223"/>
      <c r="K223"/>
      <c r="L223"/>
    </row>
    <row r="224" spans="1:12">
      <c r="A224"/>
      <c r="B224"/>
      <c r="C224"/>
      <c r="D224"/>
      <c r="E224"/>
      <c r="F224"/>
      <c r="G224"/>
      <c r="H224"/>
      <c r="I224"/>
      <c r="J224"/>
      <c r="K224"/>
      <c r="L224"/>
    </row>
    <row r="225" spans="1:12">
      <c r="A225"/>
      <c r="B225"/>
      <c r="C225"/>
      <c r="D225"/>
      <c r="E225"/>
      <c r="F225"/>
      <c r="G225"/>
      <c r="H225"/>
      <c r="I225"/>
      <c r="J225"/>
      <c r="K225"/>
      <c r="L225"/>
    </row>
    <row r="226" spans="1:12">
      <c r="A226"/>
      <c r="B226"/>
      <c r="C226"/>
      <c r="D226"/>
      <c r="E226"/>
      <c r="F226"/>
      <c r="G226"/>
      <c r="H226"/>
      <c r="I226"/>
      <c r="J226"/>
      <c r="K226"/>
      <c r="L226"/>
    </row>
    <row r="227" spans="1:12">
      <c r="A227"/>
      <c r="B227"/>
      <c r="C227"/>
      <c r="D227"/>
      <c r="E227"/>
      <c r="F227"/>
      <c r="G227"/>
      <c r="H227"/>
      <c r="I227"/>
      <c r="J227"/>
      <c r="K227"/>
      <c r="L227"/>
    </row>
    <row r="228" spans="1:12">
      <c r="A228"/>
      <c r="B228"/>
      <c r="C228"/>
      <c r="D228"/>
      <c r="E228"/>
      <c r="F228"/>
      <c r="G228"/>
      <c r="H228"/>
      <c r="I228"/>
      <c r="J228"/>
      <c r="K228"/>
      <c r="L228"/>
    </row>
    <row r="229" spans="1:12">
      <c r="A229"/>
      <c r="B229"/>
      <c r="C229"/>
      <c r="D229"/>
      <c r="E229"/>
      <c r="F229"/>
      <c r="G229"/>
      <c r="H229"/>
      <c r="I229"/>
      <c r="J229"/>
      <c r="K229"/>
      <c r="L229"/>
    </row>
    <row r="230" spans="1:12">
      <c r="A230"/>
      <c r="B230"/>
      <c r="C230"/>
      <c r="D230"/>
      <c r="E230"/>
      <c r="F230"/>
      <c r="G230"/>
      <c r="H230"/>
      <c r="I230"/>
      <c r="J230"/>
      <c r="K230"/>
      <c r="L230"/>
    </row>
    <row r="231" spans="1:12">
      <c r="A231"/>
      <c r="B231"/>
      <c r="C231"/>
      <c r="D231"/>
      <c r="E231"/>
      <c r="F231"/>
      <c r="G231"/>
      <c r="H231"/>
      <c r="I231"/>
      <c r="J231"/>
      <c r="K231"/>
      <c r="L231"/>
    </row>
    <row r="232" spans="1:12">
      <c r="A232"/>
      <c r="B232"/>
      <c r="C232"/>
      <c r="D232"/>
      <c r="E232"/>
      <c r="F232"/>
      <c r="G232"/>
      <c r="H232"/>
      <c r="I232"/>
      <c r="J232"/>
      <c r="K232"/>
      <c r="L232"/>
    </row>
    <row r="233" spans="1:12">
      <c r="A233"/>
      <c r="B233"/>
      <c r="C233"/>
      <c r="D233"/>
      <c r="E233"/>
      <c r="F233"/>
      <c r="G233"/>
      <c r="H233"/>
      <c r="I233"/>
      <c r="J233"/>
      <c r="K233"/>
      <c r="L233"/>
    </row>
    <row r="234" spans="1:12">
      <c r="A234"/>
      <c r="B234"/>
      <c r="C234"/>
      <c r="D234"/>
      <c r="E234"/>
      <c r="F234"/>
      <c r="G234"/>
      <c r="H234"/>
      <c r="I234"/>
      <c r="J234"/>
      <c r="K234"/>
      <c r="L234"/>
    </row>
    <row r="235" spans="1:12">
      <c r="A235"/>
      <c r="B235"/>
      <c r="C235"/>
      <c r="D235"/>
      <c r="E235"/>
      <c r="F235"/>
      <c r="G235"/>
      <c r="H235"/>
      <c r="I235"/>
      <c r="J235"/>
      <c r="K235"/>
      <c r="L235"/>
    </row>
    <row r="236" spans="1:12">
      <c r="A236"/>
      <c r="B236"/>
      <c r="C236"/>
      <c r="D236"/>
      <c r="E236"/>
      <c r="F236"/>
      <c r="G236"/>
      <c r="H236"/>
      <c r="I236"/>
      <c r="J236"/>
      <c r="K236"/>
      <c r="L236"/>
    </row>
    <row r="237" spans="1:12">
      <c r="A237"/>
      <c r="B237"/>
      <c r="C237"/>
      <c r="D237"/>
      <c r="E237"/>
      <c r="F237"/>
      <c r="G237"/>
      <c r="H237"/>
      <c r="I237"/>
      <c r="J237"/>
      <c r="K237"/>
      <c r="L237"/>
    </row>
    <row r="238" spans="1:12">
      <c r="A238"/>
      <c r="B238"/>
      <c r="C238"/>
      <c r="D238"/>
      <c r="E238"/>
      <c r="F238"/>
      <c r="G238"/>
      <c r="H238"/>
      <c r="I238"/>
      <c r="J238"/>
      <c r="K238"/>
      <c r="L238"/>
    </row>
    <row r="239" spans="1:12">
      <c r="A239"/>
      <c r="B239"/>
      <c r="C239"/>
      <c r="D239"/>
      <c r="E239"/>
      <c r="F239"/>
      <c r="G239"/>
      <c r="H239"/>
      <c r="I239"/>
      <c r="J239"/>
      <c r="K239"/>
      <c r="L239"/>
    </row>
    <row r="240" spans="1:12">
      <c r="A240"/>
      <c r="B240"/>
      <c r="C240"/>
      <c r="D240"/>
      <c r="E240"/>
      <c r="F240"/>
      <c r="G240"/>
      <c r="H240"/>
      <c r="I240"/>
      <c r="J240"/>
      <c r="K240"/>
      <c r="L240"/>
    </row>
    <row r="241" spans="1:12">
      <c r="A241"/>
      <c r="B241"/>
      <c r="C241"/>
      <c r="D241"/>
      <c r="E241"/>
      <c r="F241"/>
      <c r="G241"/>
      <c r="H241"/>
      <c r="I241"/>
      <c r="J241"/>
      <c r="K241"/>
      <c r="L241"/>
    </row>
    <row r="242" spans="1:12">
      <c r="A242"/>
      <c r="B242"/>
      <c r="C242"/>
      <c r="D242"/>
      <c r="E242"/>
      <c r="F242"/>
      <c r="G242"/>
      <c r="H242"/>
      <c r="I242"/>
      <c r="J242"/>
      <c r="K242"/>
      <c r="L242"/>
    </row>
    <row r="243" spans="1:12">
      <c r="A243"/>
      <c r="B243"/>
      <c r="C243"/>
      <c r="D243"/>
      <c r="E243"/>
      <c r="F243"/>
      <c r="G243"/>
      <c r="H243"/>
      <c r="I243"/>
      <c r="J243"/>
      <c r="K243"/>
      <c r="L243"/>
    </row>
    <row r="244" spans="1:12">
      <c r="A244"/>
      <c r="B244"/>
      <c r="C244"/>
      <c r="D244"/>
      <c r="E244"/>
      <c r="F244"/>
      <c r="G244"/>
      <c r="H244"/>
      <c r="I244"/>
      <c r="J244"/>
      <c r="K244"/>
      <c r="L244"/>
    </row>
    <row r="245" spans="1:12">
      <c r="A245"/>
      <c r="B245"/>
      <c r="C245"/>
      <c r="D245"/>
      <c r="E245"/>
      <c r="F245"/>
      <c r="G245"/>
      <c r="H245"/>
      <c r="I245"/>
      <c r="J245"/>
      <c r="K245"/>
      <c r="L245"/>
    </row>
    <row r="246" spans="1:12">
      <c r="A246"/>
      <c r="B246"/>
      <c r="C246"/>
      <c r="D246"/>
      <c r="E246"/>
      <c r="F246"/>
      <c r="G246"/>
      <c r="H246"/>
      <c r="I246"/>
      <c r="J246"/>
      <c r="K246"/>
      <c r="L246"/>
    </row>
    <row r="247" spans="1:12">
      <c r="A247"/>
      <c r="B247"/>
      <c r="C247"/>
      <c r="D247"/>
      <c r="E247"/>
      <c r="F247"/>
      <c r="G247"/>
      <c r="H247"/>
      <c r="I247"/>
      <c r="J247"/>
      <c r="K247"/>
      <c r="L247"/>
    </row>
    <row r="248" spans="1:12">
      <c r="A248"/>
      <c r="B248"/>
      <c r="C248"/>
      <c r="D248"/>
      <c r="E248"/>
      <c r="F248"/>
      <c r="G248"/>
      <c r="H248"/>
      <c r="I248"/>
      <c r="J248"/>
      <c r="K248"/>
      <c r="L248"/>
    </row>
    <row r="249" spans="1:12">
      <c r="A249"/>
      <c r="B249"/>
      <c r="C249"/>
      <c r="D249"/>
      <c r="E249"/>
      <c r="F249"/>
      <c r="G249"/>
      <c r="H249"/>
      <c r="I249"/>
      <c r="J249"/>
      <c r="K249"/>
      <c r="L249"/>
    </row>
    <row r="250" spans="1:12">
      <c r="A250"/>
      <c r="B250"/>
      <c r="C250"/>
      <c r="D250"/>
      <c r="E250"/>
      <c r="F250"/>
      <c r="G250"/>
      <c r="H250"/>
      <c r="I250"/>
      <c r="J250"/>
      <c r="K250"/>
      <c r="L250"/>
    </row>
    <row r="251" spans="1:12">
      <c r="A251"/>
      <c r="B251"/>
      <c r="C251"/>
      <c r="D251"/>
      <c r="E251"/>
      <c r="F251"/>
      <c r="G251"/>
      <c r="H251"/>
      <c r="I251"/>
      <c r="J251"/>
      <c r="K251"/>
      <c r="L251"/>
    </row>
    <row r="252" spans="1:12">
      <c r="A252"/>
      <c r="B252"/>
      <c r="C252"/>
      <c r="D252"/>
      <c r="E252"/>
      <c r="F252"/>
      <c r="G252"/>
      <c r="H252"/>
      <c r="I252"/>
      <c r="J252"/>
      <c r="K252"/>
      <c r="L252"/>
    </row>
    <row r="253" spans="1:12">
      <c r="A253"/>
      <c r="B253"/>
      <c r="C253"/>
      <c r="D253"/>
      <c r="E253"/>
      <c r="F253"/>
      <c r="G253"/>
      <c r="H253"/>
      <c r="I253"/>
      <c r="J253"/>
      <c r="K253"/>
      <c r="L253"/>
    </row>
    <row r="254" spans="1:12">
      <c r="A254"/>
      <c r="B254"/>
      <c r="C254"/>
      <c r="D254"/>
      <c r="E254"/>
      <c r="F254"/>
      <c r="G254"/>
      <c r="H254"/>
      <c r="I254"/>
      <c r="J254"/>
      <c r="K254"/>
      <c r="L254"/>
    </row>
    <row r="255" spans="1:12">
      <c r="A255"/>
      <c r="B255"/>
      <c r="C255"/>
      <c r="D255"/>
      <c r="E255"/>
      <c r="F255"/>
      <c r="G255"/>
      <c r="H255"/>
      <c r="I255"/>
      <c r="J255"/>
      <c r="K255"/>
      <c r="L255"/>
    </row>
    <row r="256" spans="1:12">
      <c r="A256"/>
      <c r="B256"/>
      <c r="C256"/>
      <c r="D256"/>
      <c r="E256"/>
      <c r="F256"/>
      <c r="G256"/>
      <c r="H256"/>
      <c r="I256"/>
      <c r="J256"/>
      <c r="K256"/>
      <c r="L256"/>
    </row>
    <row r="257" spans="1:12">
      <c r="A257"/>
      <c r="B257"/>
      <c r="C257"/>
      <c r="D257"/>
      <c r="E257"/>
      <c r="F257"/>
      <c r="G257"/>
      <c r="H257"/>
      <c r="I257"/>
      <c r="J257"/>
      <c r="K257"/>
      <c r="L257"/>
    </row>
    <row r="258" spans="1:12">
      <c r="A258"/>
      <c r="B258"/>
      <c r="C258"/>
      <c r="D258"/>
      <c r="E258"/>
      <c r="F258"/>
      <c r="G258"/>
      <c r="H258"/>
      <c r="I258"/>
      <c r="J258"/>
      <c r="K258"/>
      <c r="L258"/>
    </row>
    <row r="259" spans="1:12">
      <c r="A259"/>
      <c r="B259"/>
      <c r="C259"/>
      <c r="D259"/>
      <c r="E259"/>
      <c r="F259"/>
      <c r="G259"/>
      <c r="H259"/>
      <c r="I259"/>
      <c r="J259"/>
      <c r="K259"/>
      <c r="L259"/>
    </row>
    <row r="260" spans="1:12">
      <c r="A260"/>
      <c r="B260"/>
      <c r="C260"/>
      <c r="D260"/>
      <c r="E260"/>
      <c r="F260"/>
      <c r="G260"/>
      <c r="H260"/>
      <c r="I260"/>
      <c r="J260"/>
      <c r="K260"/>
      <c r="L260"/>
    </row>
    <row r="261" spans="1:12">
      <c r="A261"/>
      <c r="B261"/>
      <c r="C261"/>
      <c r="D261"/>
      <c r="E261"/>
      <c r="F261"/>
      <c r="G261"/>
      <c r="H261"/>
      <c r="I261"/>
      <c r="J261"/>
      <c r="K261"/>
      <c r="L261"/>
    </row>
    <row r="262" spans="1:12">
      <c r="A262"/>
      <c r="B262"/>
      <c r="C262"/>
      <c r="D262"/>
      <c r="E262"/>
      <c r="F262"/>
      <c r="G262"/>
      <c r="H262"/>
      <c r="I262"/>
      <c r="J262"/>
      <c r="K262"/>
      <c r="L262"/>
    </row>
    <row r="263" spans="1:12">
      <c r="A263"/>
      <c r="B263"/>
      <c r="C263"/>
      <c r="D263"/>
      <c r="E263"/>
      <c r="F263"/>
      <c r="G263"/>
      <c r="H263"/>
      <c r="I263"/>
      <c r="J263"/>
      <c r="K263"/>
      <c r="L263"/>
    </row>
    <row r="264" spans="1:12">
      <c r="A264"/>
      <c r="B264"/>
      <c r="C264"/>
      <c r="D264"/>
      <c r="E264"/>
      <c r="F264"/>
      <c r="G264"/>
      <c r="H264"/>
      <c r="I264"/>
      <c r="J264"/>
      <c r="K264"/>
      <c r="L264"/>
    </row>
    <row r="265" spans="1:12">
      <c r="A265"/>
      <c r="B265"/>
      <c r="C265"/>
      <c r="D265"/>
      <c r="E265"/>
      <c r="F265"/>
      <c r="G265"/>
      <c r="H265"/>
      <c r="I265"/>
      <c r="J265"/>
      <c r="K265"/>
      <c r="L265"/>
    </row>
    <row r="266" spans="1:12">
      <c r="A266"/>
      <c r="B266"/>
      <c r="C266"/>
      <c r="D266"/>
      <c r="E266"/>
      <c r="F266"/>
      <c r="G266"/>
      <c r="H266"/>
      <c r="I266"/>
      <c r="J266"/>
      <c r="K266"/>
      <c r="L266"/>
    </row>
  </sheetData>
  <mergeCells count="2">
    <mergeCell ref="A3:L3"/>
    <mergeCell ref="C5:I5"/>
  </mergeCells>
  <pageMargins left="0.7" right="0.7" top="0.75" bottom="0.75" header="0.3" footer="0.3"/>
  <pageSetup orientation="portrait" horizontalDpi="0"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FA2ED-FC9B-4769-8BA5-4D1952CCAAD1}">
  <dimension ref="A1:BX924"/>
  <sheetViews>
    <sheetView zoomScaleNormal="100" workbookViewId="0">
      <selection activeCell="B38" sqref="B38"/>
    </sheetView>
  </sheetViews>
  <sheetFormatPr defaultColWidth="9.109375" defaultRowHeight="15.6"/>
  <cols>
    <col min="1" max="1" width="10.33203125" style="1" customWidth="1"/>
    <col min="2" max="12" width="11.33203125" style="1" customWidth="1"/>
    <col min="13" max="13" width="9.109375" customWidth="1"/>
    <col min="76" max="16384" width="9.109375" style="1"/>
  </cols>
  <sheetData>
    <row r="1" spans="1:76" ht="15.75" customHeight="1">
      <c r="A1" s="23" t="s">
        <v>669</v>
      </c>
      <c r="B1" s="22"/>
      <c r="C1" s="5" t="s">
        <v>38</v>
      </c>
      <c r="D1" s="22"/>
      <c r="E1" s="22"/>
      <c r="F1" s="22"/>
      <c r="G1" s="22"/>
      <c r="H1" s="22"/>
      <c r="I1" s="22"/>
      <c r="J1" s="22"/>
      <c r="K1" s="22"/>
      <c r="L1" s="2"/>
    </row>
    <row r="2" spans="1:76" ht="15.75" customHeight="1">
      <c r="A2" s="21"/>
      <c r="B2" s="21"/>
      <c r="C2" s="3"/>
      <c r="D2" s="3"/>
      <c r="E2" s="3"/>
      <c r="F2" s="3"/>
      <c r="G2" s="3"/>
      <c r="H2" s="3"/>
      <c r="I2" s="3"/>
      <c r="J2" s="3"/>
      <c r="K2" s="3"/>
      <c r="L2" s="2"/>
    </row>
    <row r="3" spans="1:76">
      <c r="A3" s="1670" t="s">
        <v>2088</v>
      </c>
      <c r="B3" s="1670"/>
      <c r="C3" s="1670"/>
      <c r="D3" s="1670"/>
      <c r="E3" s="1670"/>
      <c r="F3" s="1670"/>
      <c r="G3" s="1670"/>
      <c r="H3" s="1670"/>
      <c r="I3" s="1670"/>
      <c r="J3" s="1670"/>
      <c r="K3" s="1670"/>
      <c r="L3" s="1670"/>
    </row>
    <row r="4" spans="1:76" ht="15.75" customHeight="1">
      <c r="A4" s="21"/>
      <c r="B4" s="3"/>
      <c r="C4" s="3"/>
      <c r="D4" s="3"/>
      <c r="E4" s="3"/>
      <c r="F4" s="3"/>
      <c r="G4" s="3"/>
      <c r="H4" s="3"/>
      <c r="I4" s="3"/>
      <c r="J4" s="3"/>
      <c r="K4" s="3"/>
      <c r="L4" s="2"/>
    </row>
    <row r="5" spans="1:76" ht="15.75" customHeight="1">
      <c r="A5" s="3" t="s">
        <v>1927</v>
      </c>
      <c r="B5" s="3"/>
      <c r="C5" s="3"/>
      <c r="D5" s="3"/>
      <c r="E5" s="3"/>
      <c r="F5" s="3"/>
      <c r="G5" s="3"/>
      <c r="H5" s="3"/>
      <c r="I5" s="3"/>
      <c r="J5" s="3"/>
      <c r="K5" s="3"/>
      <c r="L5" s="2"/>
    </row>
    <row r="6" spans="1:76" ht="15.75" customHeight="1">
      <c r="A6" s="3"/>
      <c r="B6" s="1060"/>
      <c r="C6" s="1060"/>
      <c r="D6" s="1060"/>
      <c r="E6" s="1060"/>
      <c r="F6" s="3"/>
      <c r="G6" s="3"/>
      <c r="H6" s="3"/>
      <c r="I6" s="3"/>
      <c r="J6" s="3"/>
      <c r="K6" s="3"/>
      <c r="L6" s="2"/>
    </row>
    <row r="7" spans="1:76" ht="15.75" customHeight="1">
      <c r="A7" s="2"/>
      <c r="B7" s="1872" t="s">
        <v>2087</v>
      </c>
      <c r="C7" s="1872" t="s">
        <v>31</v>
      </c>
      <c r="D7" s="1872" t="s">
        <v>2086</v>
      </c>
      <c r="E7" s="1872"/>
      <c r="F7" s="1872"/>
      <c r="G7" s="3"/>
      <c r="H7" s="3"/>
      <c r="I7" s="3"/>
      <c r="J7" s="3"/>
      <c r="K7" s="3"/>
      <c r="L7" s="3"/>
      <c r="BX7"/>
    </row>
    <row r="8" spans="1:76" ht="15.75" customHeight="1">
      <c r="A8" s="2"/>
      <c r="B8" s="1872"/>
      <c r="C8" s="1872"/>
      <c r="D8" s="1872"/>
      <c r="E8" s="1872"/>
      <c r="F8" s="1872"/>
      <c r="G8" s="3"/>
      <c r="H8" s="3"/>
      <c r="I8" s="3"/>
      <c r="J8" s="3"/>
      <c r="K8" s="3"/>
      <c r="L8" s="3"/>
      <c r="BX8"/>
    </row>
    <row r="9" spans="1:76" ht="15.75" customHeight="1">
      <c r="A9" s="2"/>
      <c r="B9" s="470">
        <v>1</v>
      </c>
      <c r="C9" s="470">
        <v>2018</v>
      </c>
      <c r="D9" s="1923">
        <v>1100000</v>
      </c>
      <c r="E9" s="1923"/>
      <c r="F9" s="1923"/>
      <c r="G9" s="3"/>
      <c r="H9" s="3"/>
      <c r="I9" s="3"/>
      <c r="J9" s="3"/>
      <c r="K9" s="3"/>
      <c r="L9" s="3"/>
      <c r="BX9"/>
    </row>
    <row r="10" spans="1:76" ht="15.75" customHeight="1">
      <c r="A10" s="2"/>
      <c r="B10" s="470">
        <v>2</v>
      </c>
      <c r="C10" s="470">
        <v>2018</v>
      </c>
      <c r="D10" s="1923">
        <v>2100000</v>
      </c>
      <c r="E10" s="1923"/>
      <c r="F10" s="1923"/>
      <c r="G10" s="3"/>
      <c r="H10" s="3"/>
      <c r="I10" s="3"/>
      <c r="J10" s="3"/>
      <c r="K10" s="3"/>
      <c r="L10" s="3"/>
      <c r="BX10"/>
    </row>
    <row r="11" spans="1:76" ht="15.75" customHeight="1">
      <c r="A11" s="2"/>
      <c r="B11" s="470">
        <v>3</v>
      </c>
      <c r="C11" s="470">
        <v>2019</v>
      </c>
      <c r="D11" s="1923">
        <v>900000</v>
      </c>
      <c r="E11" s="1923"/>
      <c r="F11" s="1923"/>
      <c r="G11" s="3"/>
      <c r="H11" s="3"/>
      <c r="I11" s="3"/>
      <c r="J11" s="3"/>
      <c r="K11" s="3"/>
      <c r="L11" s="3"/>
      <c r="BX11"/>
    </row>
    <row r="12" spans="1:76" ht="15.75" customHeight="1">
      <c r="A12" s="2"/>
      <c r="B12" s="470">
        <v>4</v>
      </c>
      <c r="C12" s="470">
        <v>2019</v>
      </c>
      <c r="D12" s="1923">
        <v>1400000</v>
      </c>
      <c r="E12" s="1923"/>
      <c r="F12" s="1923"/>
      <c r="G12" s="3"/>
      <c r="H12" s="3"/>
      <c r="I12" s="3"/>
      <c r="J12" s="3"/>
      <c r="K12" s="3"/>
      <c r="L12" s="3"/>
      <c r="BX12"/>
    </row>
    <row r="13" spans="1:76" ht="15.75" customHeight="1">
      <c r="A13" s="2"/>
      <c r="B13" s="470">
        <v>5</v>
      </c>
      <c r="C13" s="470">
        <v>2020</v>
      </c>
      <c r="D13" s="1923">
        <v>800000</v>
      </c>
      <c r="E13" s="1923"/>
      <c r="F13" s="1923"/>
      <c r="G13" s="3"/>
      <c r="H13" s="3"/>
      <c r="I13" s="3"/>
      <c r="J13" s="3"/>
      <c r="K13" s="3"/>
      <c r="L13" s="3"/>
      <c r="BX13"/>
    </row>
    <row r="14" spans="1:76" ht="15.75" customHeight="1">
      <c r="A14" s="2"/>
      <c r="B14" s="470">
        <v>6</v>
      </c>
      <c r="C14" s="470">
        <v>2020</v>
      </c>
      <c r="D14" s="1923">
        <v>1800000</v>
      </c>
      <c r="E14" s="1923"/>
      <c r="F14" s="1923"/>
      <c r="G14" s="3"/>
      <c r="H14" s="3"/>
      <c r="I14" s="3"/>
      <c r="J14" s="3"/>
      <c r="K14" s="3"/>
      <c r="L14" s="3"/>
      <c r="BX14"/>
    </row>
    <row r="15" spans="1:76" ht="15.75" customHeight="1">
      <c r="A15" s="3"/>
      <c r="B15" s="3" t="s">
        <v>2085</v>
      </c>
      <c r="C15" s="3"/>
      <c r="D15" s="3"/>
      <c r="E15" s="3"/>
      <c r="F15" s="3"/>
      <c r="G15" s="3"/>
      <c r="H15" s="3"/>
      <c r="I15" s="3"/>
      <c r="J15" s="3"/>
      <c r="K15" s="74"/>
      <c r="L15" s="2"/>
    </row>
    <row r="16" spans="1:76" ht="15.75" customHeight="1">
      <c r="A16" s="674"/>
      <c r="B16" s="3"/>
      <c r="C16" s="2"/>
      <c r="D16" s="1237"/>
      <c r="E16" s="3"/>
      <c r="F16" s="3"/>
      <c r="G16" s="3"/>
      <c r="H16" s="3"/>
      <c r="I16" s="3"/>
      <c r="J16" s="3"/>
      <c r="K16" s="74"/>
      <c r="L16" s="2"/>
    </row>
    <row r="17" spans="1:75" ht="15.75" customHeight="1">
      <c r="A17" s="674"/>
      <c r="B17" s="1112" t="s">
        <v>2084</v>
      </c>
      <c r="C17" s="662"/>
      <c r="D17" s="1268"/>
      <c r="E17" s="1111"/>
      <c r="F17" s="1110"/>
      <c r="G17" s="683">
        <v>5000000</v>
      </c>
      <c r="H17" s="3"/>
      <c r="I17" s="3"/>
      <c r="J17" s="3"/>
      <c r="K17" s="74"/>
      <c r="L17" s="2"/>
    </row>
    <row r="18" spans="1:75" ht="15.75" customHeight="1">
      <c r="A18" s="674"/>
      <c r="B18" s="1112" t="s">
        <v>2083</v>
      </c>
      <c r="C18" s="662"/>
      <c r="D18" s="1111"/>
      <c r="E18" s="1111"/>
      <c r="F18" s="1110"/>
      <c r="G18" s="675">
        <v>0.05</v>
      </c>
      <c r="H18" s="3"/>
      <c r="I18" s="3"/>
      <c r="J18" s="3"/>
      <c r="K18" s="74"/>
      <c r="L18" s="2"/>
    </row>
    <row r="19" spans="1:75" ht="15.75" customHeight="1">
      <c r="A19" s="674"/>
      <c r="B19" s="748" t="s">
        <v>2082</v>
      </c>
      <c r="C19" s="662"/>
      <c r="D19" s="685"/>
      <c r="E19" s="1111" t="s">
        <v>1667</v>
      </c>
      <c r="F19" s="1110" t="s">
        <v>1667</v>
      </c>
      <c r="G19" s="683">
        <v>6000000</v>
      </c>
      <c r="H19" s="3"/>
      <c r="I19" s="3"/>
      <c r="J19" s="3"/>
      <c r="K19" s="74"/>
      <c r="L19" s="2"/>
    </row>
    <row r="20" spans="1:75" ht="15.75" customHeight="1">
      <c r="A20" s="674"/>
      <c r="B20" s="47"/>
      <c r="C20" s="2"/>
      <c r="D20" s="1060"/>
      <c r="E20" s="3"/>
      <c r="F20" s="3"/>
      <c r="G20" s="699"/>
      <c r="H20" s="3"/>
      <c r="I20" s="3"/>
      <c r="J20" s="3"/>
      <c r="K20" s="74"/>
      <c r="L20" s="2"/>
    </row>
    <row r="21" spans="1:75" ht="15.75" customHeight="1">
      <c r="A21" s="674"/>
      <c r="B21" s="47" t="s">
        <v>2081</v>
      </c>
      <c r="C21" s="2"/>
      <c r="D21" s="698"/>
      <c r="E21" s="698"/>
      <c r="F21" s="3"/>
      <c r="G21" s="3"/>
      <c r="H21" s="3"/>
      <c r="I21" s="3"/>
      <c r="J21" s="3"/>
      <c r="K21" s="74"/>
      <c r="L21" s="2"/>
    </row>
    <row r="22" spans="1:75" ht="15.75" customHeight="1">
      <c r="A22" s="3"/>
      <c r="B22" s="470" t="s">
        <v>1913</v>
      </c>
      <c r="C22" s="1266">
        <v>1.5</v>
      </c>
      <c r="D22" s="1267"/>
      <c r="E22" s="3"/>
      <c r="F22" s="3"/>
      <c r="G22" s="3"/>
      <c r="H22" s="3"/>
      <c r="I22" s="3"/>
      <c r="J22" s="74"/>
      <c r="K22" s="2"/>
      <c r="L22" s="2"/>
      <c r="BW22" s="1"/>
    </row>
    <row r="23" spans="1:75" ht="15.75" customHeight="1">
      <c r="A23" s="3"/>
      <c r="B23" s="470" t="s">
        <v>1912</v>
      </c>
      <c r="C23" s="1266">
        <v>1.25</v>
      </c>
      <c r="D23" s="1267"/>
      <c r="E23" s="3"/>
      <c r="F23" s="3"/>
      <c r="G23" s="3"/>
      <c r="H23" s="3"/>
      <c r="I23" s="3"/>
      <c r="J23" s="74"/>
      <c r="K23" s="2"/>
      <c r="L23" s="2"/>
      <c r="BW23" s="1"/>
    </row>
    <row r="24" spans="1:75" ht="15.75" customHeight="1">
      <c r="A24" s="3"/>
      <c r="B24" s="470" t="s">
        <v>1911</v>
      </c>
      <c r="C24" s="1266">
        <v>1</v>
      </c>
      <c r="D24" s="698"/>
      <c r="E24" s="3"/>
      <c r="F24" s="3"/>
      <c r="G24" s="3"/>
      <c r="H24" s="3"/>
      <c r="I24" s="3"/>
      <c r="J24" s="74"/>
      <c r="K24" s="2"/>
      <c r="L24" s="2"/>
      <c r="BW24" s="1"/>
    </row>
    <row r="25" spans="1:75" ht="15.75" customHeight="1">
      <c r="A25" s="3"/>
      <c r="B25" s="3"/>
      <c r="C25" s="673"/>
      <c r="D25" s="3"/>
      <c r="E25" s="3"/>
      <c r="F25" s="3"/>
      <c r="G25" s="3"/>
      <c r="H25" s="3"/>
      <c r="I25" s="3"/>
      <c r="J25" s="3"/>
      <c r="K25" s="74"/>
      <c r="L25" s="3"/>
    </row>
    <row r="26" spans="1:75" ht="15.75" customHeight="1">
      <c r="A26" s="3" t="s">
        <v>80</v>
      </c>
      <c r="B26" s="3" t="s">
        <v>2080</v>
      </c>
      <c r="C26" s="3"/>
      <c r="D26" s="3"/>
      <c r="E26" s="3"/>
      <c r="F26" s="3"/>
      <c r="G26" s="3"/>
      <c r="H26" s="3"/>
      <c r="I26" s="3"/>
      <c r="J26" s="3"/>
      <c r="K26" s="3"/>
      <c r="L26" s="2"/>
    </row>
    <row r="27" spans="1:75" ht="15.75" customHeight="1">
      <c r="A27" s="5"/>
      <c r="B27" s="5" t="s">
        <v>64</v>
      </c>
      <c r="C27" s="5"/>
      <c r="D27" s="4"/>
      <c r="E27" s="4"/>
      <c r="F27" s="4"/>
      <c r="G27" s="4"/>
      <c r="H27" s="3"/>
      <c r="I27" s="3"/>
      <c r="J27" s="2"/>
      <c r="K27" s="3"/>
      <c r="L27" s="2"/>
    </row>
    <row r="28" spans="1:75" ht="15.75" customHeight="1">
      <c r="A28"/>
      <c r="B28"/>
      <c r="C28"/>
      <c r="D28"/>
      <c r="E28"/>
      <c r="F28"/>
      <c r="G28"/>
      <c r="H28" t="s">
        <v>2079</v>
      </c>
      <c r="I28"/>
      <c r="J28"/>
      <c r="K28"/>
      <c r="L28"/>
    </row>
    <row r="29" spans="1:75" ht="15.75" customHeight="1">
      <c r="A29"/>
      <c r="B29"/>
      <c r="C29" t="s">
        <v>2078</v>
      </c>
      <c r="D29" t="s">
        <v>1750</v>
      </c>
      <c r="E29" t="s">
        <v>2077</v>
      </c>
      <c r="F29" t="s">
        <v>2077</v>
      </c>
      <c r="G29"/>
      <c r="H29" t="s">
        <v>2077</v>
      </c>
      <c r="I29"/>
      <c r="J29"/>
      <c r="K29"/>
      <c r="L29"/>
    </row>
    <row r="30" spans="1:75" ht="15.75" customHeight="1">
      <c r="A30" t="s">
        <v>2076</v>
      </c>
      <c r="B30" t="s">
        <v>2075</v>
      </c>
      <c r="C30" t="s">
        <v>2018</v>
      </c>
      <c r="D30" t="s">
        <v>1257</v>
      </c>
      <c r="E30" t="s">
        <v>2018</v>
      </c>
      <c r="F30" t="s">
        <v>2074</v>
      </c>
      <c r="G30" t="s">
        <v>1908</v>
      </c>
      <c r="H30" t="s">
        <v>2074</v>
      </c>
      <c r="I30"/>
      <c r="J30" t="s">
        <v>47</v>
      </c>
      <c r="K30" t="s">
        <v>1908</v>
      </c>
      <c r="M30" s="1"/>
    </row>
    <row r="31" spans="1:75" ht="15.75" customHeight="1">
      <c r="A31">
        <v>1</v>
      </c>
      <c r="B31">
        <f t="shared" ref="B31:C36" si="0">C9</f>
        <v>2018</v>
      </c>
      <c r="C31" s="1081">
        <f t="shared" si="0"/>
        <v>1100000</v>
      </c>
      <c r="D31">
        <f t="shared" ref="D31:D36" si="1">(1+$G$18)^(2022-B31)</f>
        <v>1.21550625</v>
      </c>
      <c r="E31" s="1081">
        <f t="shared" ref="E31:E36" si="2">C31*D31</f>
        <v>1337056.875</v>
      </c>
      <c r="F31" s="1081">
        <f t="shared" ref="F31:F36" si="3">MIN(3000000,MAX(0,E31-1000000))</f>
        <v>337056.875</v>
      </c>
      <c r="G31" s="106">
        <f t="shared" ref="G31:G36" si="4">VLOOKUP(B31,$J$31:$K$33,2)</f>
        <v>1</v>
      </c>
      <c r="H31" s="1081">
        <f t="shared" ref="H31:H36" si="5">F31*G31</f>
        <v>337056.875</v>
      </c>
      <c r="I31"/>
      <c r="J31">
        <v>2018</v>
      </c>
      <c r="K31" s="106">
        <f>C24</f>
        <v>1</v>
      </c>
      <c r="M31" s="1"/>
    </row>
    <row r="32" spans="1:75" ht="15.75" customHeight="1">
      <c r="A32">
        <v>2</v>
      </c>
      <c r="B32">
        <f t="shared" si="0"/>
        <v>2018</v>
      </c>
      <c r="C32" s="1081">
        <f t="shared" si="0"/>
        <v>2100000</v>
      </c>
      <c r="D32">
        <f t="shared" si="1"/>
        <v>1.21550625</v>
      </c>
      <c r="E32" s="1081">
        <f t="shared" si="2"/>
        <v>2552563.125</v>
      </c>
      <c r="F32" s="1081">
        <f t="shared" si="3"/>
        <v>1552563.125</v>
      </c>
      <c r="G32" s="106">
        <f t="shared" si="4"/>
        <v>1</v>
      </c>
      <c r="H32" s="1081">
        <f t="shared" si="5"/>
        <v>1552563.125</v>
      </c>
      <c r="I32"/>
      <c r="J32">
        <v>2019</v>
      </c>
      <c r="K32" s="106">
        <f>C23</f>
        <v>1.25</v>
      </c>
      <c r="M32" s="1"/>
    </row>
    <row r="33" spans="1:13" ht="15.75" customHeight="1">
      <c r="A33">
        <v>3</v>
      </c>
      <c r="B33">
        <f t="shared" si="0"/>
        <v>2019</v>
      </c>
      <c r="C33" s="1081">
        <f t="shared" si="0"/>
        <v>900000</v>
      </c>
      <c r="D33">
        <f t="shared" si="1"/>
        <v>1.1576250000000001</v>
      </c>
      <c r="E33" s="1081">
        <f t="shared" si="2"/>
        <v>1041862.5000000001</v>
      </c>
      <c r="F33" s="1081">
        <f t="shared" si="3"/>
        <v>41862.500000000116</v>
      </c>
      <c r="G33" s="106">
        <f t="shared" si="4"/>
        <v>1.25</v>
      </c>
      <c r="H33" s="1081">
        <f t="shared" si="5"/>
        <v>52328.125000000146</v>
      </c>
      <c r="I33"/>
      <c r="J33">
        <v>2020</v>
      </c>
      <c r="K33" s="106">
        <f>C22</f>
        <v>1.5</v>
      </c>
      <c r="M33" s="1"/>
    </row>
    <row r="34" spans="1:13" ht="15.75" customHeight="1">
      <c r="A34">
        <v>4</v>
      </c>
      <c r="B34">
        <f t="shared" si="0"/>
        <v>2019</v>
      </c>
      <c r="C34" s="1081">
        <f t="shared" si="0"/>
        <v>1400000</v>
      </c>
      <c r="D34">
        <f t="shared" si="1"/>
        <v>1.1576250000000001</v>
      </c>
      <c r="E34" s="1081">
        <f t="shared" si="2"/>
        <v>1620675.0000000002</v>
      </c>
      <c r="F34" s="1081">
        <f t="shared" si="3"/>
        <v>620675.00000000023</v>
      </c>
      <c r="G34" s="106">
        <f t="shared" si="4"/>
        <v>1.25</v>
      </c>
      <c r="H34" s="1081">
        <f t="shared" si="5"/>
        <v>775843.75000000023</v>
      </c>
      <c r="I34"/>
      <c r="J34"/>
      <c r="K34"/>
      <c r="L34"/>
    </row>
    <row r="35" spans="1:13" ht="15.75" customHeight="1">
      <c r="A35">
        <v>5</v>
      </c>
      <c r="B35">
        <f t="shared" si="0"/>
        <v>2020</v>
      </c>
      <c r="C35" s="1081">
        <f t="shared" si="0"/>
        <v>800000</v>
      </c>
      <c r="D35">
        <f t="shared" si="1"/>
        <v>1.1025</v>
      </c>
      <c r="E35" s="1081">
        <f t="shared" si="2"/>
        <v>882000</v>
      </c>
      <c r="F35" s="1081">
        <f t="shared" si="3"/>
        <v>0</v>
      </c>
      <c r="G35" s="106">
        <f t="shared" si="4"/>
        <v>1.5</v>
      </c>
      <c r="H35" s="1081">
        <f t="shared" si="5"/>
        <v>0</v>
      </c>
      <c r="I35"/>
      <c r="J35"/>
      <c r="K35"/>
      <c r="L35"/>
    </row>
    <row r="36" spans="1:13" ht="15.75" customHeight="1">
      <c r="A36">
        <v>6</v>
      </c>
      <c r="B36">
        <f t="shared" si="0"/>
        <v>2020</v>
      </c>
      <c r="C36" s="1081">
        <f t="shared" si="0"/>
        <v>1800000</v>
      </c>
      <c r="D36">
        <f t="shared" si="1"/>
        <v>1.1025</v>
      </c>
      <c r="E36" s="1081">
        <f t="shared" si="2"/>
        <v>1984500</v>
      </c>
      <c r="F36" s="1081">
        <f t="shared" si="3"/>
        <v>984500</v>
      </c>
      <c r="G36" s="106">
        <f t="shared" si="4"/>
        <v>1.5</v>
      </c>
      <c r="H36" s="1081">
        <f t="shared" si="5"/>
        <v>1476750</v>
      </c>
      <c r="I36"/>
      <c r="J36"/>
      <c r="K36"/>
      <c r="L36"/>
    </row>
    <row r="37" spans="1:13" ht="15.75" customHeight="1">
      <c r="A37"/>
      <c r="B37" t="s">
        <v>72</v>
      </c>
      <c r="C37"/>
      <c r="D37"/>
      <c r="E37" s="86"/>
      <c r="F37" s="86"/>
      <c r="G37"/>
      <c r="H37" s="1081">
        <f>SUM(H31:H36)</f>
        <v>4194541.875</v>
      </c>
      <c r="I37" s="86"/>
      <c r="J37"/>
      <c r="K37"/>
      <c r="L37"/>
    </row>
    <row r="38" spans="1:13" ht="15.75" customHeight="1">
      <c r="A38"/>
      <c r="B38"/>
      <c r="C38"/>
      <c r="D38"/>
      <c r="E38"/>
      <c r="F38"/>
      <c r="G38" t="s">
        <v>1936</v>
      </c>
      <c r="H38" s="1081">
        <f>G17*3</f>
        <v>15000000</v>
      </c>
      <c r="I38"/>
      <c r="J38"/>
      <c r="K38"/>
      <c r="L38"/>
    </row>
    <row r="39" spans="1:13" ht="15.75" customHeight="1">
      <c r="A39"/>
      <c r="B39"/>
      <c r="C39"/>
      <c r="D39"/>
      <c r="E39"/>
      <c r="F39"/>
      <c r="G39" s="1265" t="s">
        <v>1304</v>
      </c>
      <c r="H39" s="1264">
        <f>H37/H38</f>
        <v>0.27963612500000001</v>
      </c>
      <c r="I39" s="86"/>
      <c r="J39"/>
      <c r="K39"/>
      <c r="L39"/>
    </row>
    <row r="40" spans="1:13" ht="15.75" customHeight="1">
      <c r="A40"/>
      <c r="B40"/>
      <c r="C40"/>
      <c r="D40"/>
      <c r="E40"/>
      <c r="F40"/>
      <c r="G40"/>
      <c r="H40"/>
      <c r="I40"/>
      <c r="J40"/>
      <c r="K40"/>
      <c r="L40"/>
    </row>
    <row r="41" spans="1:13" ht="15.75" customHeight="1">
      <c r="A41" s="214" t="s">
        <v>9</v>
      </c>
      <c r="B41" s="1670" t="s">
        <v>2073</v>
      </c>
      <c r="C41" s="1670"/>
      <c r="D41" s="1670"/>
      <c r="E41" s="1670"/>
      <c r="F41" s="1670"/>
      <c r="G41" s="1670"/>
      <c r="H41" s="1670"/>
      <c r="I41" s="1670"/>
      <c r="J41" s="1670"/>
      <c r="K41" s="1670"/>
      <c r="L41" s="1670"/>
    </row>
    <row r="42" spans="1:13" ht="15.75" customHeight="1">
      <c r="A42" s="5"/>
      <c r="B42" s="5" t="s">
        <v>64</v>
      </c>
      <c r="C42" s="5"/>
      <c r="D42" s="4"/>
      <c r="E42" s="4"/>
      <c r="F42" s="4"/>
      <c r="G42" s="4"/>
      <c r="H42" s="3"/>
      <c r="I42" s="3"/>
      <c r="J42" s="2"/>
      <c r="K42" s="3"/>
      <c r="L42" s="2"/>
    </row>
    <row r="43" spans="1:13" ht="15.75" customHeight="1">
      <c r="A43"/>
      <c r="B43"/>
      <c r="C43"/>
      <c r="D43"/>
      <c r="E43"/>
      <c r="F43"/>
      <c r="G43"/>
      <c r="H43"/>
      <c r="I43"/>
      <c r="J43"/>
      <c r="K43"/>
      <c r="L43"/>
    </row>
    <row r="44" spans="1:13" ht="15.75" customHeight="1">
      <c r="A44" s="86"/>
      <c r="B44" s="139" t="s">
        <v>2072</v>
      </c>
      <c r="C44"/>
      <c r="D44"/>
      <c r="E44"/>
      <c r="F44"/>
      <c r="G44"/>
      <c r="H44"/>
      <c r="I44"/>
      <c r="J44"/>
      <c r="K44"/>
      <c r="L44"/>
    </row>
    <row r="45" spans="1:13" ht="15.75" customHeight="1">
      <c r="A45"/>
      <c r="B45"/>
      <c r="C45"/>
      <c r="D45"/>
      <c r="E45"/>
      <c r="F45"/>
      <c r="G45"/>
      <c r="H45"/>
      <c r="I45"/>
      <c r="J45"/>
      <c r="K45"/>
      <c r="L45"/>
    </row>
    <row r="46" spans="1:13" ht="15.75" customHeight="1">
      <c r="A46" s="3" t="s">
        <v>2071</v>
      </c>
      <c r="B46" s="2"/>
      <c r="C46" s="2"/>
      <c r="D46" s="2"/>
      <c r="E46" s="2"/>
      <c r="F46" s="2"/>
      <c r="G46" s="2"/>
      <c r="H46" s="2"/>
      <c r="I46" s="2"/>
      <c r="J46" s="2"/>
      <c r="K46" s="2"/>
      <c r="L46" s="2"/>
    </row>
    <row r="47" spans="1:13" ht="15.75" customHeight="1">
      <c r="A47" s="2"/>
      <c r="B47" s="2"/>
      <c r="C47" s="2"/>
      <c r="D47" s="2"/>
      <c r="E47" s="2"/>
      <c r="F47" s="2"/>
      <c r="G47" s="2"/>
      <c r="H47" s="2"/>
      <c r="I47" s="2"/>
      <c r="J47" s="2"/>
      <c r="K47" s="2"/>
      <c r="L47" s="2"/>
    </row>
    <row r="48" spans="1:13" ht="32.25" customHeight="1">
      <c r="A48" s="2"/>
      <c r="B48" s="1671" t="s">
        <v>2070</v>
      </c>
      <c r="C48" s="1736"/>
      <c r="D48" s="1736" t="s">
        <v>1964</v>
      </c>
      <c r="E48" s="1736"/>
      <c r="F48" s="2"/>
      <c r="G48" s="2"/>
      <c r="H48" s="2"/>
      <c r="I48" s="2"/>
      <c r="J48" s="2"/>
      <c r="K48" s="2"/>
      <c r="L48" s="2"/>
    </row>
    <row r="49" spans="1:12" ht="15.75" customHeight="1">
      <c r="A49" s="2"/>
      <c r="B49" s="1922">
        <v>0.1</v>
      </c>
      <c r="C49" s="1922"/>
      <c r="D49" s="1922">
        <v>0.3</v>
      </c>
      <c r="E49" s="1922"/>
      <c r="F49" s="2"/>
      <c r="G49" s="2"/>
      <c r="H49" s="2"/>
      <c r="I49" s="2"/>
      <c r="J49" s="2"/>
      <c r="K49" s="2"/>
      <c r="L49" s="2"/>
    </row>
    <row r="50" spans="1:12" ht="15.75" customHeight="1">
      <c r="A50" s="2"/>
      <c r="B50" s="1922">
        <v>0.2</v>
      </c>
      <c r="C50" s="1922"/>
      <c r="D50" s="1922">
        <v>0.5</v>
      </c>
      <c r="E50" s="1922"/>
      <c r="F50" s="2"/>
      <c r="G50" s="2"/>
      <c r="H50" s="2"/>
      <c r="I50" s="2"/>
      <c r="J50" s="2"/>
      <c r="K50" s="2"/>
      <c r="L50" s="2"/>
    </row>
    <row r="51" spans="1:12" ht="15.75" customHeight="1">
      <c r="A51" s="2"/>
      <c r="B51" s="1922">
        <v>0.3</v>
      </c>
      <c r="C51" s="1922"/>
      <c r="D51" s="1922">
        <v>0.61</v>
      </c>
      <c r="E51" s="1922"/>
      <c r="F51" s="2"/>
      <c r="G51" s="2"/>
      <c r="H51" s="2"/>
      <c r="I51" s="2"/>
      <c r="J51" s="2"/>
      <c r="K51" s="2"/>
      <c r="L51" s="2"/>
    </row>
    <row r="52" spans="1:12" ht="15.75" customHeight="1">
      <c r="A52" s="2"/>
      <c r="B52" s="1922">
        <v>0.4</v>
      </c>
      <c r="C52" s="1922"/>
      <c r="D52" s="1922">
        <v>0.69</v>
      </c>
      <c r="E52" s="1922"/>
      <c r="F52" s="2"/>
      <c r="G52" s="2"/>
      <c r="H52" s="2"/>
      <c r="I52" s="2"/>
      <c r="J52" s="2"/>
      <c r="K52" s="2"/>
      <c r="L52" s="2"/>
    </row>
    <row r="53" spans="1:12" ht="15.75" customHeight="1">
      <c r="A53" s="2"/>
      <c r="B53" s="1922">
        <v>0.5</v>
      </c>
      <c r="C53" s="1922"/>
      <c r="D53" s="1922">
        <v>0.75</v>
      </c>
      <c r="E53" s="1922"/>
      <c r="F53" s="2"/>
      <c r="G53" s="2"/>
      <c r="H53" s="2"/>
      <c r="I53" s="2"/>
      <c r="J53" s="2"/>
      <c r="K53" s="2"/>
      <c r="L53" s="2"/>
    </row>
    <row r="54" spans="1:12" ht="15.75" customHeight="1">
      <c r="A54" s="2"/>
      <c r="B54" s="1922">
        <v>0.6</v>
      </c>
      <c r="C54" s="1922"/>
      <c r="D54" s="1922">
        <v>0.8</v>
      </c>
      <c r="E54" s="1922"/>
      <c r="F54" s="2"/>
      <c r="G54" s="2"/>
      <c r="H54" s="2"/>
      <c r="I54" s="2"/>
      <c r="J54" s="2"/>
      <c r="K54" s="2"/>
      <c r="L54" s="2"/>
    </row>
    <row r="55" spans="1:12" ht="15.75" customHeight="1">
      <c r="A55" s="2"/>
      <c r="B55" s="1922">
        <v>0.7</v>
      </c>
      <c r="C55" s="1922"/>
      <c r="D55" s="1922">
        <v>0.85</v>
      </c>
      <c r="E55" s="1922"/>
      <c r="F55" s="2"/>
      <c r="G55" s="2"/>
      <c r="H55" s="2"/>
      <c r="I55" s="2"/>
      <c r="J55" s="2"/>
      <c r="K55" s="2"/>
      <c r="L55" s="2"/>
    </row>
    <row r="56" spans="1:12" ht="15.75" customHeight="1">
      <c r="A56" s="2"/>
      <c r="B56" s="1922">
        <v>0.8</v>
      </c>
      <c r="C56" s="1922"/>
      <c r="D56" s="1922">
        <v>0.89</v>
      </c>
      <c r="E56" s="1922"/>
      <c r="F56" s="2"/>
      <c r="G56" s="2"/>
      <c r="H56" s="2"/>
      <c r="I56" s="2"/>
      <c r="J56" s="2"/>
      <c r="K56" s="2"/>
      <c r="L56" s="2"/>
    </row>
    <row r="57" spans="1:12" ht="15.75" customHeight="1">
      <c r="A57" s="2"/>
      <c r="B57" s="1922">
        <v>0.9</v>
      </c>
      <c r="C57" s="1922"/>
      <c r="D57" s="1922">
        <v>0.92</v>
      </c>
      <c r="E57" s="1922"/>
      <c r="F57" s="2"/>
      <c r="G57" s="2"/>
      <c r="H57" s="2"/>
      <c r="I57" s="2"/>
      <c r="J57" s="2"/>
      <c r="K57" s="2"/>
      <c r="L57" s="2"/>
    </row>
    <row r="58" spans="1:12" ht="15.75" customHeight="1">
      <c r="A58" s="2"/>
      <c r="B58" s="1922">
        <v>1</v>
      </c>
      <c r="C58" s="1922"/>
      <c r="D58" s="1922">
        <v>0.95</v>
      </c>
      <c r="E58" s="1922"/>
      <c r="F58" s="2"/>
      <c r="G58" s="2"/>
      <c r="H58" s="2"/>
      <c r="I58" s="2"/>
      <c r="J58" s="2"/>
      <c r="K58" s="2"/>
      <c r="L58" s="2"/>
    </row>
    <row r="59" spans="1:12" ht="15.75" customHeight="1">
      <c r="A59" s="2"/>
      <c r="B59" s="1922">
        <v>1.1000000000000001</v>
      </c>
      <c r="C59" s="1922"/>
      <c r="D59" s="1922">
        <v>0.98</v>
      </c>
      <c r="E59" s="1922"/>
      <c r="F59" s="2"/>
      <c r="G59" s="2"/>
      <c r="H59" s="2"/>
      <c r="I59" s="2"/>
      <c r="J59" s="2"/>
      <c r="K59" s="2"/>
      <c r="L59" s="2"/>
    </row>
    <row r="60" spans="1:12" ht="15.75" customHeight="1">
      <c r="A60" s="2"/>
      <c r="B60" s="1922">
        <v>1.2</v>
      </c>
      <c r="C60" s="1922"/>
      <c r="D60" s="1922">
        <v>1</v>
      </c>
      <c r="E60" s="1922"/>
      <c r="F60" s="2"/>
      <c r="G60" s="2"/>
      <c r="H60" s="2"/>
      <c r="I60" s="2"/>
      <c r="J60" s="2"/>
      <c r="K60" s="2"/>
      <c r="L60" s="2"/>
    </row>
    <row r="61" spans="1:12" ht="15.75" customHeight="1">
      <c r="A61" s="2"/>
      <c r="B61" s="2"/>
      <c r="C61" s="2"/>
      <c r="D61" s="2"/>
      <c r="E61" s="2"/>
      <c r="F61" s="2"/>
      <c r="G61" s="2"/>
      <c r="H61" s="2"/>
      <c r="I61" s="2"/>
      <c r="J61" s="2"/>
      <c r="K61" s="2"/>
      <c r="L61" s="2"/>
    </row>
    <row r="62" spans="1:12">
      <c r="A62" s="214" t="s">
        <v>7</v>
      </c>
      <c r="B62" s="1670" t="s">
        <v>2069</v>
      </c>
      <c r="C62" s="1670"/>
      <c r="D62" s="1670"/>
      <c r="E62" s="1670"/>
      <c r="F62" s="1670"/>
      <c r="G62" s="1670"/>
      <c r="H62" s="1670"/>
      <c r="I62" s="1670"/>
      <c r="J62" s="1670"/>
      <c r="K62" s="1670"/>
      <c r="L62" s="1670"/>
    </row>
    <row r="63" spans="1:12" ht="16.2">
      <c r="A63" s="5"/>
      <c r="B63" s="5" t="s">
        <v>64</v>
      </c>
      <c r="C63" s="5"/>
      <c r="D63" s="4"/>
      <c r="E63" s="4"/>
      <c r="F63" s="4"/>
      <c r="G63" s="4"/>
      <c r="H63" s="3"/>
      <c r="I63" s="3"/>
      <c r="J63" s="2"/>
      <c r="K63" s="3"/>
      <c r="L63" s="2"/>
    </row>
    <row r="64" spans="1:12">
      <c r="A64"/>
      <c r="B64" t="s">
        <v>2068</v>
      </c>
      <c r="C64"/>
      <c r="D64"/>
      <c r="E64"/>
      <c r="F64"/>
      <c r="G64"/>
      <c r="H64"/>
      <c r="I64"/>
      <c r="J64"/>
      <c r="K64"/>
      <c r="L64"/>
    </row>
    <row r="65" spans="1:12">
      <c r="A65"/>
      <c r="B65"/>
      <c r="C65"/>
      <c r="D65"/>
      <c r="E65"/>
      <c r="F65"/>
      <c r="G65"/>
      <c r="H65"/>
      <c r="I65"/>
      <c r="J65"/>
      <c r="K65"/>
      <c r="L65"/>
    </row>
    <row r="66" spans="1:12">
      <c r="A66"/>
      <c r="B66" s="125" t="s">
        <v>1907</v>
      </c>
      <c r="C66" s="125" t="s">
        <v>1907</v>
      </c>
      <c r="D66" s="125" t="s">
        <v>2067</v>
      </c>
      <c r="E66" s="125" t="s">
        <v>2067</v>
      </c>
      <c r="F66" s="125" t="s">
        <v>2066</v>
      </c>
      <c r="G66" s="125" t="s">
        <v>2066</v>
      </c>
      <c r="H66" s="125" t="s">
        <v>2066</v>
      </c>
      <c r="I66" s="125"/>
      <c r="K66"/>
      <c r="L66"/>
    </row>
    <row r="67" spans="1:12">
      <c r="A67"/>
      <c r="B67" s="125" t="s">
        <v>2065</v>
      </c>
      <c r="C67" s="125" t="s">
        <v>2064</v>
      </c>
      <c r="D67" s="125" t="s">
        <v>2065</v>
      </c>
      <c r="E67" s="125" t="s">
        <v>2064</v>
      </c>
      <c r="F67" s="125" t="s">
        <v>2065</v>
      </c>
      <c r="G67" s="125" t="s">
        <v>2064</v>
      </c>
      <c r="H67" s="125" t="s">
        <v>256</v>
      </c>
      <c r="I67" s="125" t="s">
        <v>1304</v>
      </c>
      <c r="K67"/>
      <c r="L67"/>
    </row>
    <row r="68" spans="1:12">
      <c r="A68" t="s">
        <v>2063</v>
      </c>
      <c r="B68" s="1081">
        <v>3000000</v>
      </c>
      <c r="C68" s="1081">
        <v>1000000</v>
      </c>
      <c r="D68" s="1262">
        <f>B68/$G$19</f>
        <v>0.5</v>
      </c>
      <c r="E68" s="1262">
        <f>C68/$G$19</f>
        <v>0.16666666666666666</v>
      </c>
      <c r="F68" s="1262">
        <f>D53</f>
        <v>0.75</v>
      </c>
      <c r="G68" s="1262">
        <f>((E68-B49)/(B50-B49))*(D50-D49)+D49</f>
        <v>0.43333333333333329</v>
      </c>
      <c r="H68" s="1263">
        <f>F68-G68</f>
        <v>0.31666666666666671</v>
      </c>
      <c r="I68" s="1263">
        <f>H39</f>
        <v>0.27963612500000001</v>
      </c>
      <c r="L68"/>
    </row>
    <row r="69" spans="1:12">
      <c r="A69" t="s">
        <v>2062</v>
      </c>
      <c r="B69" s="1081">
        <v>4000000</v>
      </c>
      <c r="C69" s="1081">
        <v>3000000</v>
      </c>
      <c r="D69" s="1262">
        <f>B69/$G$19</f>
        <v>0.66666666666666663</v>
      </c>
      <c r="E69" s="1262">
        <f>C69/$G$19</f>
        <v>0.5</v>
      </c>
      <c r="F69" s="1262">
        <f>((D69-B54)/(B55-B54))*(D55-D54)+D54</f>
        <v>0.83333333333333337</v>
      </c>
      <c r="G69" s="1262">
        <f>D53</f>
        <v>0.75</v>
      </c>
      <c r="H69" s="1263">
        <f>F69-G69</f>
        <v>8.333333333333337E-2</v>
      </c>
      <c r="I69" s="1262">
        <f>I68*H69/H68</f>
        <v>7.3588453947368446E-2</v>
      </c>
      <c r="K69"/>
      <c r="L69"/>
    </row>
    <row r="70" spans="1:12">
      <c r="A70"/>
      <c r="B70" s="86"/>
      <c r="C70"/>
      <c r="D70"/>
      <c r="E70"/>
      <c r="F70"/>
      <c r="G70"/>
      <c r="H70"/>
      <c r="I70" s="1261">
        <f>SUM(I68:I69)</f>
        <v>0.35322457894736847</v>
      </c>
      <c r="J70"/>
      <c r="K70"/>
      <c r="L70"/>
    </row>
    <row r="71" spans="1:12">
      <c r="A71"/>
      <c r="B71"/>
      <c r="C71"/>
      <c r="D71" s="86"/>
      <c r="E71"/>
      <c r="F71" s="86"/>
      <c r="G71"/>
      <c r="H71" s="86"/>
      <c r="I71" s="86"/>
      <c r="J71"/>
      <c r="K71"/>
      <c r="L71"/>
    </row>
    <row r="72" spans="1:12" ht="32.25" customHeight="1">
      <c r="A72" s="214" t="s">
        <v>4</v>
      </c>
      <c r="B72" s="1670" t="s">
        <v>2061</v>
      </c>
      <c r="C72" s="1670"/>
      <c r="D72" s="1670"/>
      <c r="E72" s="1670"/>
      <c r="F72" s="1670"/>
      <c r="G72" s="1670"/>
      <c r="H72" s="1670"/>
      <c r="I72" s="1670"/>
      <c r="J72" s="1670"/>
      <c r="K72" s="1670"/>
      <c r="L72" s="1670"/>
    </row>
    <row r="73" spans="1:12" ht="15.75" customHeight="1">
      <c r="A73" s="5"/>
      <c r="B73" s="5" t="s">
        <v>64</v>
      </c>
      <c r="C73" s="5"/>
      <c r="D73" s="4"/>
      <c r="E73" s="4"/>
      <c r="F73" s="4"/>
      <c r="G73" s="4"/>
      <c r="H73" s="3"/>
      <c r="I73" s="3"/>
      <c r="J73" s="2"/>
      <c r="K73" s="3"/>
      <c r="L73" s="2"/>
    </row>
    <row r="74" spans="1:12" ht="15.75" customHeight="1">
      <c r="A74"/>
      <c r="B74"/>
      <c r="C74"/>
      <c r="D74"/>
      <c r="E74"/>
      <c r="F74"/>
      <c r="G74"/>
      <c r="H74"/>
      <c r="I74"/>
      <c r="J74"/>
      <c r="K74"/>
      <c r="L74"/>
    </row>
    <row r="75" spans="1:12" ht="15.75" customHeight="1">
      <c r="A75" s="86"/>
      <c r="B75" s="139" t="s">
        <v>2060</v>
      </c>
      <c r="C75"/>
      <c r="D75"/>
      <c r="E75"/>
      <c r="F75"/>
      <c r="G75"/>
      <c r="H75"/>
      <c r="I75"/>
      <c r="J75"/>
      <c r="K75"/>
      <c r="L75"/>
    </row>
    <row r="76" spans="1:12" ht="15.75" customHeight="1">
      <c r="A76"/>
      <c r="B76"/>
      <c r="C76"/>
      <c r="D76"/>
      <c r="E76"/>
      <c r="F76"/>
      <c r="G76"/>
      <c r="H76"/>
      <c r="I76"/>
      <c r="J76"/>
      <c r="K76"/>
      <c r="L76"/>
    </row>
    <row r="77" spans="1:12" ht="15.75" customHeight="1">
      <c r="A77"/>
      <c r="B77"/>
      <c r="C77"/>
      <c r="D77"/>
      <c r="E77"/>
      <c r="F77"/>
      <c r="G77"/>
      <c r="H77"/>
      <c r="I77"/>
      <c r="J77"/>
      <c r="K77"/>
      <c r="L77"/>
    </row>
    <row r="78" spans="1:12" ht="15.75" customHeight="1">
      <c r="A78"/>
      <c r="B78"/>
      <c r="C78"/>
      <c r="D78"/>
      <c r="E78"/>
      <c r="F78"/>
      <c r="G78"/>
      <c r="H78"/>
      <c r="I78"/>
      <c r="J78"/>
      <c r="K78"/>
      <c r="L78"/>
    </row>
    <row r="79" spans="1:12" ht="15.75" customHeight="1">
      <c r="A79"/>
      <c r="B79"/>
      <c r="C79"/>
      <c r="D79"/>
      <c r="E79"/>
      <c r="F79"/>
      <c r="G79"/>
      <c r="H79"/>
      <c r="I79"/>
      <c r="J79"/>
      <c r="K79"/>
      <c r="L79"/>
    </row>
    <row r="80" spans="1:12" ht="15.75" customHeight="1">
      <c r="A80"/>
      <c r="B80"/>
      <c r="C80"/>
      <c r="D80"/>
      <c r="E80"/>
      <c r="F80"/>
      <c r="G80"/>
      <c r="H80"/>
      <c r="I80"/>
      <c r="J80"/>
      <c r="K80"/>
      <c r="L80"/>
    </row>
    <row r="81" spans="1:12" ht="15.75" customHeight="1">
      <c r="A81"/>
      <c r="B81"/>
      <c r="C81"/>
      <c r="D81"/>
      <c r="E81"/>
      <c r="F81"/>
      <c r="G81"/>
      <c r="H81"/>
      <c r="I81"/>
      <c r="J81"/>
      <c r="K81"/>
      <c r="L81"/>
    </row>
    <row r="82" spans="1:12" ht="15.75" customHeight="1">
      <c r="A82"/>
      <c r="B82"/>
      <c r="C82"/>
      <c r="D82"/>
      <c r="E82"/>
      <c r="F82"/>
      <c r="G82"/>
      <c r="H82"/>
      <c r="I82"/>
      <c r="J82"/>
      <c r="K82"/>
      <c r="L82"/>
    </row>
    <row r="83" spans="1:12" ht="15.75" customHeight="1">
      <c r="A83"/>
      <c r="B83"/>
      <c r="C83"/>
      <c r="D83"/>
      <c r="E83"/>
      <c r="F83"/>
      <c r="G83"/>
      <c r="H83"/>
      <c r="I83"/>
      <c r="J83"/>
      <c r="K83"/>
      <c r="L83"/>
    </row>
    <row r="84" spans="1:12" ht="15.75" customHeight="1">
      <c r="A84"/>
      <c r="B84"/>
      <c r="C84"/>
      <c r="D84"/>
      <c r="E84"/>
      <c r="F84"/>
      <c r="G84"/>
      <c r="H84"/>
      <c r="I84"/>
      <c r="J84"/>
      <c r="K84"/>
      <c r="L84"/>
    </row>
    <row r="85" spans="1:12" ht="15.75" customHeight="1">
      <c r="A85"/>
      <c r="B85"/>
      <c r="C85"/>
      <c r="D85"/>
      <c r="E85"/>
      <c r="F85"/>
      <c r="G85"/>
      <c r="H85"/>
      <c r="I85"/>
      <c r="J85"/>
      <c r="K85"/>
      <c r="L85"/>
    </row>
    <row r="86" spans="1:12" ht="15.75" customHeight="1">
      <c r="A86"/>
      <c r="B86"/>
      <c r="C86"/>
      <c r="D86"/>
      <c r="E86"/>
      <c r="F86"/>
      <c r="G86"/>
      <c r="H86"/>
      <c r="I86"/>
      <c r="J86"/>
      <c r="K86"/>
      <c r="L86"/>
    </row>
    <row r="87" spans="1:12" ht="15.75" customHeight="1">
      <c r="A87"/>
      <c r="B87"/>
      <c r="C87"/>
      <c r="D87"/>
      <c r="E87"/>
      <c r="F87"/>
      <c r="G87"/>
      <c r="H87"/>
      <c r="I87"/>
      <c r="J87"/>
      <c r="K87"/>
      <c r="L87"/>
    </row>
    <row r="88" spans="1:12" ht="15.75" customHeight="1">
      <c r="A88"/>
      <c r="B88"/>
      <c r="C88"/>
      <c r="D88"/>
      <c r="E88"/>
      <c r="F88"/>
      <c r="G88"/>
      <c r="H88"/>
      <c r="I88"/>
      <c r="J88"/>
      <c r="K88"/>
      <c r="L88"/>
    </row>
    <row r="89" spans="1:12" ht="15.75" customHeight="1">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c r="J149"/>
      <c r="K149"/>
      <c r="L149"/>
    </row>
    <row r="150" spans="1:12">
      <c r="A150"/>
      <c r="B150"/>
      <c r="C150"/>
      <c r="D150"/>
      <c r="E150"/>
      <c r="F150"/>
      <c r="G150"/>
      <c r="H150"/>
      <c r="I150"/>
      <c r="J150"/>
      <c r="K150"/>
      <c r="L150"/>
    </row>
    <row r="151" spans="1:12">
      <c r="A151"/>
      <c r="B151"/>
      <c r="C151"/>
      <c r="D151"/>
      <c r="E151"/>
      <c r="F151"/>
      <c r="G151"/>
      <c r="H151"/>
      <c r="I151"/>
      <c r="J151"/>
      <c r="K151"/>
      <c r="L151"/>
    </row>
    <row r="152" spans="1:12">
      <c r="A152"/>
      <c r="B152"/>
      <c r="C152"/>
      <c r="D152"/>
      <c r="E152"/>
      <c r="F152"/>
      <c r="G152"/>
      <c r="H152"/>
      <c r="I152"/>
      <c r="J152"/>
      <c r="K152"/>
      <c r="L152"/>
    </row>
    <row r="153" spans="1:12">
      <c r="A153"/>
      <c r="B153"/>
      <c r="C153"/>
      <c r="D153"/>
      <c r="E153"/>
      <c r="F153"/>
      <c r="G153"/>
      <c r="H153"/>
      <c r="I153"/>
      <c r="J153"/>
      <c r="K153"/>
      <c r="L153"/>
    </row>
    <row r="154" spans="1:12">
      <c r="A154"/>
      <c r="B154"/>
      <c r="C154"/>
      <c r="D154"/>
      <c r="E154"/>
      <c r="F154"/>
      <c r="G154"/>
      <c r="H154"/>
      <c r="I154"/>
      <c r="J154"/>
      <c r="K154"/>
      <c r="L154"/>
    </row>
    <row r="155" spans="1:12">
      <c r="A155"/>
      <c r="B155"/>
      <c r="C155"/>
      <c r="D155"/>
      <c r="E155"/>
      <c r="F155"/>
      <c r="G155"/>
      <c r="H155"/>
      <c r="I155"/>
      <c r="J155"/>
      <c r="K155"/>
      <c r="L155"/>
    </row>
    <row r="156" spans="1:12">
      <c r="A156"/>
      <c r="B156"/>
      <c r="C156"/>
      <c r="D156"/>
      <c r="E156"/>
      <c r="F156"/>
      <c r="G156"/>
      <c r="H156"/>
      <c r="I156"/>
      <c r="J156"/>
      <c r="K156"/>
      <c r="L156"/>
    </row>
    <row r="157" spans="1:12">
      <c r="A157"/>
      <c r="B157"/>
      <c r="C157"/>
      <c r="D157"/>
      <c r="E157"/>
      <c r="F157"/>
      <c r="G157"/>
      <c r="H157"/>
      <c r="I157"/>
      <c r="J157"/>
      <c r="K157"/>
      <c r="L157"/>
    </row>
    <row r="158" spans="1:12">
      <c r="A158"/>
      <c r="B158"/>
      <c r="C158"/>
      <c r="D158"/>
      <c r="E158"/>
      <c r="F158"/>
      <c r="G158"/>
      <c r="H158"/>
      <c r="I158"/>
      <c r="J158"/>
      <c r="K158"/>
      <c r="L158"/>
    </row>
    <row r="159" spans="1:12">
      <c r="A159"/>
      <c r="B159"/>
      <c r="C159"/>
      <c r="D159"/>
      <c r="E159"/>
      <c r="F159"/>
      <c r="G159"/>
      <c r="H159"/>
      <c r="I159"/>
      <c r="J159"/>
      <c r="K159"/>
      <c r="L159"/>
    </row>
    <row r="160" spans="1:12">
      <c r="A160"/>
      <c r="B160"/>
      <c r="C160"/>
      <c r="D160"/>
      <c r="E160"/>
      <c r="F160"/>
      <c r="G160"/>
      <c r="H160"/>
      <c r="I160"/>
      <c r="J160"/>
      <c r="K160"/>
      <c r="L160"/>
    </row>
    <row r="161" spans="1:12">
      <c r="A161"/>
      <c r="B161"/>
      <c r="C161"/>
      <c r="D161"/>
      <c r="E161"/>
      <c r="F161"/>
      <c r="G161"/>
      <c r="H161"/>
      <c r="I161"/>
      <c r="J161"/>
      <c r="K161"/>
      <c r="L161"/>
    </row>
    <row r="162" spans="1:12">
      <c r="A162"/>
      <c r="B162"/>
      <c r="C162"/>
      <c r="D162"/>
      <c r="E162"/>
      <c r="F162"/>
      <c r="G162"/>
      <c r="H162"/>
      <c r="I162"/>
      <c r="J162"/>
      <c r="K162"/>
      <c r="L162"/>
    </row>
    <row r="163" spans="1:12">
      <c r="A163"/>
      <c r="B163"/>
      <c r="C163"/>
      <c r="D163"/>
      <c r="E163"/>
      <c r="F163"/>
      <c r="G163"/>
      <c r="H163"/>
      <c r="I163"/>
      <c r="J163"/>
      <c r="K163"/>
      <c r="L163"/>
    </row>
    <row r="164" spans="1:12">
      <c r="A164"/>
      <c r="B164"/>
      <c r="C164"/>
      <c r="D164"/>
      <c r="E164"/>
      <c r="F164"/>
      <c r="G164"/>
      <c r="H164"/>
      <c r="I164"/>
      <c r="J164"/>
      <c r="K164"/>
      <c r="L164"/>
    </row>
    <row r="165" spans="1:12">
      <c r="A165"/>
      <c r="B165"/>
      <c r="C165"/>
      <c r="D165"/>
      <c r="E165"/>
      <c r="F165"/>
      <c r="G165"/>
      <c r="H165"/>
      <c r="I165"/>
      <c r="J165"/>
      <c r="K165"/>
      <c r="L165"/>
    </row>
    <row r="166" spans="1:12">
      <c r="A166"/>
      <c r="B166"/>
      <c r="C166"/>
      <c r="D166"/>
      <c r="E166"/>
      <c r="F166"/>
      <c r="G166"/>
      <c r="H166"/>
      <c r="I166"/>
      <c r="J166"/>
      <c r="K166"/>
      <c r="L166"/>
    </row>
    <row r="167" spans="1:12">
      <c r="A167"/>
      <c r="B167"/>
      <c r="C167"/>
      <c r="D167"/>
      <c r="E167"/>
      <c r="F167"/>
      <c r="G167"/>
      <c r="H167"/>
      <c r="I167"/>
      <c r="J167"/>
      <c r="K167"/>
      <c r="L167"/>
    </row>
    <row r="168" spans="1:12">
      <c r="A168"/>
      <c r="B168"/>
      <c r="C168"/>
      <c r="D168"/>
      <c r="E168"/>
      <c r="F168"/>
      <c r="G168"/>
      <c r="H168"/>
      <c r="I168"/>
      <c r="J168"/>
      <c r="K168"/>
      <c r="L168"/>
    </row>
    <row r="169" spans="1:12">
      <c r="A169"/>
      <c r="B169"/>
      <c r="C169"/>
      <c r="D169"/>
      <c r="E169"/>
      <c r="F169"/>
      <c r="G169"/>
      <c r="H169"/>
      <c r="I169"/>
      <c r="J169"/>
      <c r="K169"/>
      <c r="L169"/>
    </row>
    <row r="170" spans="1:12">
      <c r="A170"/>
      <c r="B170"/>
      <c r="C170"/>
      <c r="D170"/>
      <c r="E170"/>
      <c r="F170"/>
      <c r="G170"/>
      <c r="H170"/>
      <c r="I170"/>
      <c r="J170"/>
      <c r="K170"/>
      <c r="L170"/>
    </row>
    <row r="171" spans="1:12">
      <c r="A171"/>
      <c r="B171"/>
      <c r="C171"/>
      <c r="D171"/>
      <c r="E171"/>
      <c r="F171"/>
      <c r="G171"/>
      <c r="H171"/>
      <c r="I171"/>
      <c r="J171"/>
      <c r="K171"/>
      <c r="L171"/>
    </row>
    <row r="172" spans="1:12">
      <c r="A172"/>
      <c r="B172"/>
      <c r="C172"/>
      <c r="D172"/>
      <c r="E172"/>
      <c r="F172"/>
      <c r="G172"/>
      <c r="H172"/>
      <c r="I172"/>
      <c r="J172"/>
      <c r="K172"/>
      <c r="L172"/>
    </row>
    <row r="173" spans="1:12">
      <c r="A173"/>
      <c r="B173"/>
      <c r="C173"/>
      <c r="D173"/>
      <c r="E173"/>
      <c r="F173"/>
      <c r="G173"/>
      <c r="H173"/>
      <c r="I173"/>
      <c r="J173"/>
      <c r="K173"/>
      <c r="L173"/>
    </row>
    <row r="174" spans="1:12">
      <c r="A174"/>
      <c r="B174"/>
      <c r="C174"/>
      <c r="D174"/>
      <c r="E174"/>
      <c r="F174"/>
      <c r="G174"/>
      <c r="H174"/>
      <c r="I174"/>
      <c r="J174"/>
      <c r="K174"/>
      <c r="L174"/>
    </row>
    <row r="175" spans="1:12">
      <c r="A175"/>
      <c r="B175"/>
      <c r="C175"/>
      <c r="D175"/>
      <c r="E175"/>
      <c r="F175"/>
      <c r="G175"/>
      <c r="H175"/>
      <c r="I175"/>
      <c r="J175"/>
      <c r="K175"/>
      <c r="L175"/>
    </row>
    <row r="176" spans="1:12">
      <c r="A176"/>
      <c r="B176"/>
      <c r="C176"/>
      <c r="D176"/>
      <c r="E176"/>
      <c r="F176"/>
      <c r="G176"/>
      <c r="H176"/>
      <c r="I176"/>
      <c r="J176"/>
      <c r="K176"/>
      <c r="L176"/>
    </row>
    <row r="177" spans="1:12">
      <c r="A177"/>
      <c r="B177"/>
      <c r="C177"/>
      <c r="D177"/>
      <c r="E177"/>
      <c r="F177"/>
      <c r="G177"/>
      <c r="H177"/>
      <c r="I177"/>
      <c r="J177"/>
      <c r="K177"/>
      <c r="L177"/>
    </row>
    <row r="178" spans="1:12">
      <c r="A178"/>
      <c r="B178"/>
      <c r="C178"/>
      <c r="D178"/>
      <c r="E178"/>
      <c r="F178"/>
      <c r="G178"/>
      <c r="H178"/>
      <c r="I178"/>
      <c r="J178"/>
      <c r="K178"/>
      <c r="L178"/>
    </row>
    <row r="179" spans="1:12">
      <c r="A179"/>
      <c r="B179"/>
      <c r="C179"/>
      <c r="D179"/>
      <c r="E179"/>
      <c r="F179"/>
      <c r="G179"/>
      <c r="H179"/>
      <c r="I179"/>
      <c r="J179"/>
      <c r="K179"/>
      <c r="L179"/>
    </row>
    <row r="180" spans="1:12">
      <c r="A180"/>
      <c r="B180"/>
      <c r="C180"/>
      <c r="D180"/>
      <c r="E180"/>
      <c r="F180"/>
      <c r="G180"/>
      <c r="H180"/>
      <c r="I180"/>
      <c r="J180"/>
      <c r="K180"/>
      <c r="L180"/>
    </row>
    <row r="181" spans="1:12">
      <c r="A181"/>
      <c r="B181"/>
      <c r="C181"/>
      <c r="D181"/>
      <c r="E181"/>
      <c r="F181"/>
      <c r="G181"/>
      <c r="H181"/>
      <c r="I181"/>
      <c r="J181"/>
      <c r="K181"/>
      <c r="L181"/>
    </row>
    <row r="182" spans="1:12">
      <c r="A182"/>
      <c r="B182"/>
      <c r="C182"/>
      <c r="D182"/>
      <c r="E182"/>
      <c r="F182"/>
      <c r="G182"/>
      <c r="H182"/>
      <c r="I182"/>
      <c r="J182"/>
      <c r="K182"/>
      <c r="L182"/>
    </row>
    <row r="183" spans="1:12">
      <c r="A183"/>
      <c r="B183"/>
      <c r="C183"/>
      <c r="D183"/>
      <c r="E183"/>
      <c r="F183"/>
      <c r="G183"/>
      <c r="H183"/>
      <c r="I183"/>
      <c r="J183"/>
      <c r="K183"/>
      <c r="L183"/>
    </row>
    <row r="184" spans="1:12">
      <c r="A184"/>
      <c r="B184"/>
      <c r="C184"/>
      <c r="D184"/>
      <c r="E184"/>
      <c r="F184"/>
      <c r="G184"/>
      <c r="H184"/>
      <c r="I184"/>
      <c r="J184"/>
      <c r="K184"/>
      <c r="L184"/>
    </row>
    <row r="185" spans="1:12">
      <c r="A185"/>
      <c r="B185"/>
      <c r="C185"/>
      <c r="D185"/>
      <c r="E185"/>
      <c r="F185"/>
      <c r="G185"/>
      <c r="H185"/>
      <c r="I185"/>
      <c r="J185"/>
      <c r="K185"/>
      <c r="L185"/>
    </row>
    <row r="186" spans="1:12">
      <c r="A186"/>
      <c r="B186"/>
      <c r="C186"/>
      <c r="D186"/>
      <c r="E186"/>
      <c r="F186"/>
      <c r="G186"/>
      <c r="H186"/>
      <c r="I186"/>
      <c r="J186"/>
      <c r="K186"/>
      <c r="L186"/>
    </row>
    <row r="187" spans="1:12">
      <c r="A187"/>
      <c r="B187"/>
      <c r="C187"/>
      <c r="D187"/>
      <c r="E187"/>
      <c r="F187"/>
      <c r="G187"/>
      <c r="H187"/>
      <c r="I187"/>
      <c r="J187"/>
      <c r="K187"/>
      <c r="L187"/>
    </row>
    <row r="188" spans="1:12">
      <c r="A188"/>
      <c r="B188"/>
      <c r="C188"/>
      <c r="D188"/>
      <c r="E188"/>
      <c r="F188"/>
      <c r="G188"/>
      <c r="H188"/>
      <c r="I188"/>
      <c r="J188"/>
      <c r="K188"/>
      <c r="L188"/>
    </row>
    <row r="189" spans="1:12">
      <c r="A189"/>
      <c r="B189"/>
      <c r="C189"/>
      <c r="D189"/>
      <c r="E189"/>
      <c r="F189"/>
      <c r="G189"/>
      <c r="H189"/>
      <c r="I189"/>
      <c r="J189"/>
      <c r="K189"/>
      <c r="L189"/>
    </row>
    <row r="190" spans="1:12">
      <c r="A190"/>
      <c r="B190"/>
      <c r="C190"/>
      <c r="D190"/>
      <c r="E190"/>
      <c r="F190"/>
      <c r="G190"/>
      <c r="H190"/>
      <c r="I190"/>
      <c r="J190"/>
      <c r="K190"/>
      <c r="L190"/>
    </row>
    <row r="191" spans="1:12">
      <c r="A191"/>
      <c r="B191"/>
      <c r="C191"/>
      <c r="D191"/>
      <c r="E191"/>
      <c r="F191"/>
      <c r="G191"/>
      <c r="H191"/>
      <c r="I191"/>
      <c r="J191"/>
      <c r="K191"/>
      <c r="L191"/>
    </row>
    <row r="192" spans="1:12">
      <c r="A192"/>
      <c r="B192"/>
      <c r="C192"/>
      <c r="D192"/>
      <c r="E192"/>
      <c r="F192"/>
      <c r="G192"/>
      <c r="H192"/>
      <c r="I192"/>
      <c r="J192"/>
      <c r="K192"/>
      <c r="L192"/>
    </row>
    <row r="193" spans="1:12">
      <c r="A193"/>
      <c r="B193"/>
      <c r="C193"/>
      <c r="D193"/>
      <c r="E193"/>
      <c r="F193"/>
      <c r="G193"/>
      <c r="H193"/>
      <c r="I193"/>
      <c r="J193"/>
      <c r="K193"/>
      <c r="L193"/>
    </row>
    <row r="194" spans="1:12">
      <c r="A194"/>
      <c r="B194"/>
      <c r="C194"/>
      <c r="D194"/>
      <c r="E194"/>
      <c r="F194"/>
      <c r="G194"/>
      <c r="H194"/>
      <c r="I194"/>
      <c r="J194"/>
      <c r="K194"/>
      <c r="L194"/>
    </row>
    <row r="195" spans="1:12">
      <c r="A195"/>
      <c r="B195"/>
      <c r="C195"/>
      <c r="D195"/>
      <c r="E195"/>
      <c r="F195"/>
      <c r="G195"/>
      <c r="H195"/>
      <c r="I195"/>
      <c r="J195"/>
      <c r="K195"/>
      <c r="L195"/>
    </row>
    <row r="196" spans="1:12">
      <c r="A196"/>
      <c r="B196"/>
      <c r="C196"/>
      <c r="D196"/>
      <c r="E196"/>
      <c r="F196"/>
      <c r="G196"/>
      <c r="H196"/>
      <c r="I196"/>
      <c r="J196"/>
      <c r="K196"/>
      <c r="L196"/>
    </row>
    <row r="197" spans="1:12">
      <c r="A197"/>
      <c r="B197"/>
      <c r="C197"/>
      <c r="D197"/>
      <c r="E197"/>
      <c r="F197"/>
      <c r="G197"/>
      <c r="H197"/>
      <c r="I197"/>
      <c r="J197"/>
      <c r="K197"/>
      <c r="L197"/>
    </row>
    <row r="198" spans="1:12">
      <c r="A198"/>
      <c r="B198"/>
      <c r="C198"/>
      <c r="D198"/>
      <c r="E198"/>
      <c r="F198"/>
      <c r="G198"/>
      <c r="H198"/>
      <c r="I198"/>
      <c r="J198"/>
      <c r="K198"/>
      <c r="L198"/>
    </row>
    <row r="199" spans="1:12">
      <c r="A199"/>
      <c r="B199"/>
      <c r="C199"/>
      <c r="D199"/>
      <c r="E199"/>
      <c r="F199"/>
      <c r="G199"/>
      <c r="H199"/>
      <c r="I199"/>
      <c r="J199"/>
      <c r="K199"/>
      <c r="L199"/>
    </row>
    <row r="200" spans="1:12">
      <c r="A200"/>
      <c r="B200"/>
      <c r="C200"/>
      <c r="D200"/>
      <c r="E200"/>
      <c r="F200"/>
      <c r="G200"/>
      <c r="H200"/>
      <c r="I200"/>
      <c r="J200"/>
      <c r="K200"/>
      <c r="L200"/>
    </row>
    <row r="201" spans="1:12">
      <c r="A201"/>
      <c r="B201"/>
      <c r="C201"/>
      <c r="D201"/>
      <c r="E201"/>
      <c r="F201"/>
      <c r="G201"/>
      <c r="H201"/>
      <c r="I201"/>
      <c r="J201"/>
      <c r="K201"/>
      <c r="L201"/>
    </row>
    <row r="202" spans="1:12">
      <c r="A202"/>
      <c r="B202"/>
      <c r="C202"/>
      <c r="D202"/>
      <c r="E202"/>
      <c r="F202"/>
      <c r="G202"/>
      <c r="H202"/>
      <c r="I202"/>
      <c r="J202"/>
      <c r="K202"/>
      <c r="L202"/>
    </row>
    <row r="203" spans="1:12">
      <c r="A203"/>
      <c r="B203"/>
      <c r="C203"/>
      <c r="D203"/>
      <c r="E203"/>
      <c r="F203"/>
      <c r="G203"/>
      <c r="H203"/>
      <c r="I203"/>
      <c r="J203"/>
      <c r="K203"/>
      <c r="L203"/>
    </row>
    <row r="204" spans="1:12">
      <c r="A204"/>
      <c r="B204"/>
      <c r="C204"/>
      <c r="D204"/>
      <c r="E204"/>
      <c r="F204"/>
      <c r="G204"/>
      <c r="H204"/>
      <c r="I204"/>
      <c r="J204"/>
      <c r="K204"/>
      <c r="L204"/>
    </row>
    <row r="205" spans="1:12">
      <c r="A205"/>
      <c r="B205"/>
      <c r="C205"/>
      <c r="D205"/>
      <c r="E205"/>
      <c r="F205"/>
      <c r="G205"/>
      <c r="H205"/>
      <c r="I205"/>
      <c r="J205"/>
      <c r="K205"/>
      <c r="L205"/>
    </row>
    <row r="206" spans="1:12">
      <c r="A206"/>
      <c r="B206"/>
      <c r="C206"/>
      <c r="D206"/>
      <c r="E206"/>
      <c r="F206"/>
      <c r="G206"/>
      <c r="H206"/>
      <c r="I206"/>
      <c r="J206"/>
      <c r="K206"/>
      <c r="L206"/>
    </row>
    <row r="207" spans="1:12">
      <c r="A207"/>
      <c r="B207"/>
      <c r="C207"/>
      <c r="D207"/>
      <c r="E207"/>
      <c r="F207"/>
      <c r="G207"/>
      <c r="H207"/>
      <c r="I207"/>
      <c r="J207"/>
      <c r="K207"/>
      <c r="L207"/>
    </row>
    <row r="208" spans="1:12">
      <c r="A208"/>
      <c r="B208"/>
      <c r="C208"/>
      <c r="D208"/>
      <c r="E208"/>
      <c r="F208"/>
      <c r="G208"/>
      <c r="H208"/>
      <c r="I208"/>
      <c r="J208"/>
      <c r="K208"/>
      <c r="L208"/>
    </row>
    <row r="209" spans="1:12">
      <c r="A209"/>
      <c r="B209"/>
      <c r="C209"/>
      <c r="D209"/>
      <c r="E209"/>
      <c r="F209"/>
      <c r="G209"/>
      <c r="H209"/>
      <c r="I209"/>
      <c r="J209"/>
      <c r="K209"/>
      <c r="L209"/>
    </row>
    <row r="210" spans="1:12">
      <c r="A210"/>
      <c r="B210"/>
      <c r="C210"/>
      <c r="D210"/>
      <c r="E210"/>
      <c r="F210"/>
      <c r="G210"/>
      <c r="H210"/>
      <c r="I210"/>
      <c r="J210"/>
      <c r="K210"/>
      <c r="L210"/>
    </row>
    <row r="211" spans="1:12">
      <c r="A211"/>
      <c r="B211"/>
      <c r="C211"/>
      <c r="D211"/>
      <c r="E211"/>
      <c r="F211"/>
      <c r="G211"/>
      <c r="H211"/>
      <c r="I211"/>
      <c r="J211"/>
      <c r="K211"/>
      <c r="L211"/>
    </row>
    <row r="212" spans="1:12">
      <c r="A212"/>
      <c r="B212"/>
      <c r="C212"/>
      <c r="D212"/>
      <c r="E212"/>
      <c r="F212"/>
      <c r="G212"/>
      <c r="H212"/>
      <c r="I212"/>
      <c r="J212"/>
      <c r="K212"/>
      <c r="L212"/>
    </row>
    <row r="213" spans="1:12">
      <c r="A213"/>
      <c r="B213"/>
      <c r="C213"/>
      <c r="D213"/>
      <c r="E213"/>
      <c r="F213"/>
      <c r="G213"/>
      <c r="H213"/>
      <c r="I213"/>
      <c r="J213"/>
      <c r="K213"/>
      <c r="L213"/>
    </row>
    <row r="214" spans="1:12">
      <c r="A214"/>
      <c r="B214"/>
      <c r="C214"/>
      <c r="D214"/>
      <c r="E214"/>
      <c r="F214"/>
      <c r="G214"/>
      <c r="H214"/>
      <c r="I214"/>
      <c r="J214"/>
      <c r="K214"/>
      <c r="L214"/>
    </row>
    <row r="215" spans="1:12">
      <c r="A215"/>
      <c r="B215"/>
      <c r="C215"/>
      <c r="D215"/>
      <c r="E215"/>
      <c r="F215"/>
      <c r="G215"/>
      <c r="H215"/>
      <c r="I215"/>
      <c r="J215"/>
      <c r="K215"/>
      <c r="L215"/>
    </row>
    <row r="216" spans="1:12">
      <c r="A216"/>
      <c r="B216"/>
      <c r="C216"/>
      <c r="D216"/>
      <c r="E216"/>
      <c r="F216"/>
      <c r="G216"/>
      <c r="H216"/>
      <c r="I216"/>
      <c r="J216"/>
      <c r="K216"/>
      <c r="L216"/>
    </row>
    <row r="217" spans="1:12">
      <c r="A217"/>
      <c r="B217"/>
      <c r="C217"/>
      <c r="D217"/>
      <c r="E217"/>
      <c r="F217"/>
      <c r="G217"/>
      <c r="H217"/>
      <c r="I217"/>
      <c r="J217"/>
      <c r="K217"/>
      <c r="L217"/>
    </row>
    <row r="218" spans="1:12">
      <c r="A218"/>
      <c r="B218"/>
      <c r="C218"/>
      <c r="D218"/>
      <c r="E218"/>
      <c r="F218"/>
      <c r="G218"/>
      <c r="H218"/>
      <c r="I218"/>
      <c r="J218"/>
      <c r="K218"/>
      <c r="L218"/>
    </row>
    <row r="219" spans="1:12">
      <c r="A219"/>
      <c r="B219"/>
      <c r="C219"/>
      <c r="D219"/>
      <c r="E219"/>
      <c r="F219"/>
      <c r="G219"/>
      <c r="H219"/>
      <c r="I219"/>
      <c r="J219"/>
      <c r="K219"/>
      <c r="L219"/>
    </row>
    <row r="220" spans="1:12">
      <c r="A220"/>
      <c r="B220"/>
      <c r="C220"/>
      <c r="D220"/>
      <c r="E220"/>
      <c r="F220"/>
      <c r="G220"/>
      <c r="H220"/>
      <c r="I220"/>
      <c r="J220"/>
      <c r="K220"/>
      <c r="L220"/>
    </row>
    <row r="221" spans="1:12">
      <c r="A221"/>
      <c r="B221"/>
      <c r="C221"/>
      <c r="D221"/>
      <c r="E221"/>
      <c r="F221"/>
      <c r="G221"/>
      <c r="H221"/>
      <c r="I221"/>
      <c r="J221"/>
      <c r="K221"/>
      <c r="L221"/>
    </row>
    <row r="222" spans="1:12">
      <c r="A222"/>
      <c r="B222"/>
      <c r="C222"/>
      <c r="D222"/>
      <c r="E222"/>
      <c r="F222"/>
      <c r="G222"/>
      <c r="H222"/>
      <c r="I222"/>
      <c r="J222"/>
      <c r="K222"/>
      <c r="L222"/>
    </row>
    <row r="223" spans="1:12">
      <c r="A223"/>
      <c r="B223"/>
      <c r="C223"/>
      <c r="D223"/>
      <c r="E223"/>
      <c r="F223"/>
      <c r="G223"/>
      <c r="H223"/>
      <c r="I223"/>
      <c r="J223"/>
      <c r="K223"/>
      <c r="L223"/>
    </row>
    <row r="224" spans="1:12">
      <c r="A224"/>
      <c r="B224"/>
      <c r="C224"/>
      <c r="D224"/>
      <c r="E224"/>
      <c r="F224"/>
      <c r="G224"/>
      <c r="H224"/>
      <c r="I224"/>
      <c r="J224"/>
      <c r="K224"/>
      <c r="L224"/>
    </row>
    <row r="225" spans="1:12">
      <c r="A225"/>
      <c r="B225"/>
      <c r="C225"/>
      <c r="D225"/>
      <c r="E225"/>
      <c r="F225"/>
      <c r="G225"/>
      <c r="H225"/>
      <c r="I225"/>
      <c r="J225"/>
      <c r="K225"/>
      <c r="L225"/>
    </row>
    <row r="226" spans="1:12">
      <c r="A226"/>
      <c r="B226"/>
      <c r="C226"/>
      <c r="D226"/>
      <c r="E226"/>
      <c r="F226"/>
      <c r="G226"/>
      <c r="H226"/>
      <c r="I226"/>
      <c r="J226"/>
      <c r="K226"/>
      <c r="L226"/>
    </row>
    <row r="227" spans="1:12">
      <c r="A227"/>
      <c r="B227"/>
      <c r="C227"/>
      <c r="D227"/>
      <c r="E227"/>
      <c r="F227"/>
      <c r="G227"/>
      <c r="H227"/>
      <c r="I227"/>
      <c r="J227"/>
      <c r="K227"/>
      <c r="L227"/>
    </row>
    <row r="228" spans="1:12">
      <c r="A228"/>
      <c r="B228"/>
      <c r="C228"/>
      <c r="D228"/>
      <c r="E228"/>
      <c r="F228"/>
      <c r="G228"/>
      <c r="H228"/>
      <c r="I228"/>
      <c r="J228"/>
      <c r="K228"/>
      <c r="L228"/>
    </row>
    <row r="229" spans="1:12">
      <c r="A229"/>
      <c r="B229"/>
      <c r="C229"/>
      <c r="D229"/>
      <c r="E229"/>
      <c r="F229"/>
      <c r="G229"/>
      <c r="H229"/>
      <c r="I229"/>
      <c r="J229"/>
      <c r="K229"/>
      <c r="L229"/>
    </row>
    <row r="230" spans="1:12">
      <c r="A230"/>
      <c r="B230"/>
      <c r="C230"/>
      <c r="D230"/>
      <c r="E230"/>
      <c r="F230"/>
      <c r="G230"/>
      <c r="H230"/>
      <c r="I230"/>
      <c r="J230"/>
      <c r="K230"/>
      <c r="L230"/>
    </row>
    <row r="231" spans="1:12">
      <c r="A231"/>
      <c r="B231"/>
      <c r="C231"/>
      <c r="D231"/>
      <c r="E231"/>
      <c r="F231"/>
      <c r="G231"/>
      <c r="H231"/>
      <c r="I231"/>
      <c r="J231"/>
      <c r="K231"/>
      <c r="L231"/>
    </row>
    <row r="232" spans="1:12">
      <c r="A232"/>
      <c r="B232"/>
      <c r="C232"/>
      <c r="D232"/>
      <c r="E232"/>
      <c r="F232"/>
      <c r="G232"/>
      <c r="H232"/>
      <c r="I232"/>
      <c r="J232"/>
      <c r="K232"/>
      <c r="L232"/>
    </row>
    <row r="233" spans="1:12">
      <c r="A233"/>
      <c r="B233"/>
      <c r="C233"/>
      <c r="D233"/>
      <c r="E233"/>
      <c r="F233"/>
      <c r="G233"/>
      <c r="H233"/>
      <c r="I233"/>
      <c r="J233"/>
      <c r="K233"/>
      <c r="L233"/>
    </row>
    <row r="234" spans="1:12">
      <c r="A234"/>
      <c r="B234"/>
      <c r="C234"/>
      <c r="D234"/>
      <c r="E234"/>
      <c r="F234"/>
      <c r="G234"/>
      <c r="H234"/>
      <c r="I234"/>
      <c r="J234"/>
      <c r="K234"/>
      <c r="L234"/>
    </row>
    <row r="235" spans="1:12">
      <c r="A235"/>
      <c r="B235"/>
      <c r="C235"/>
      <c r="D235"/>
      <c r="E235"/>
      <c r="F235"/>
      <c r="G235"/>
      <c r="H235"/>
      <c r="I235"/>
      <c r="J235"/>
      <c r="K235"/>
      <c r="L235"/>
    </row>
    <row r="236" spans="1:12">
      <c r="A236"/>
      <c r="B236"/>
      <c r="C236"/>
      <c r="D236"/>
      <c r="E236"/>
      <c r="F236"/>
      <c r="G236"/>
      <c r="H236"/>
      <c r="I236"/>
      <c r="J236"/>
      <c r="K236"/>
      <c r="L236"/>
    </row>
    <row r="237" spans="1:12">
      <c r="A237"/>
      <c r="B237"/>
      <c r="C237"/>
      <c r="D237"/>
      <c r="E237"/>
      <c r="F237"/>
      <c r="G237"/>
      <c r="H237"/>
      <c r="I237"/>
      <c r="J237"/>
      <c r="K237"/>
      <c r="L237"/>
    </row>
    <row r="238" spans="1:12">
      <c r="A238"/>
      <c r="B238"/>
      <c r="C238"/>
      <c r="D238"/>
      <c r="E238"/>
      <c r="F238"/>
      <c r="G238"/>
      <c r="H238"/>
      <c r="I238"/>
      <c r="J238"/>
      <c r="K238"/>
      <c r="L238"/>
    </row>
    <row r="239" spans="1:12">
      <c r="A239"/>
      <c r="B239"/>
      <c r="C239"/>
      <c r="D239"/>
      <c r="E239"/>
      <c r="F239"/>
      <c r="G239"/>
      <c r="H239"/>
      <c r="I239"/>
      <c r="J239"/>
      <c r="K239"/>
      <c r="L239"/>
    </row>
    <row r="240" spans="1:12">
      <c r="A240"/>
      <c r="B240"/>
      <c r="C240"/>
      <c r="D240"/>
      <c r="E240"/>
      <c r="F240"/>
      <c r="G240"/>
      <c r="H240"/>
      <c r="I240"/>
      <c r="J240"/>
      <c r="K240"/>
      <c r="L240"/>
    </row>
    <row r="241" spans="1:12">
      <c r="A241"/>
      <c r="B241"/>
      <c r="C241"/>
      <c r="D241"/>
      <c r="E241"/>
      <c r="F241"/>
      <c r="G241"/>
      <c r="H241"/>
      <c r="I241"/>
      <c r="J241"/>
      <c r="K241"/>
      <c r="L241"/>
    </row>
    <row r="242" spans="1:12">
      <c r="A242"/>
      <c r="B242"/>
      <c r="C242"/>
      <c r="D242"/>
      <c r="E242"/>
      <c r="F242"/>
      <c r="G242"/>
      <c r="H242"/>
      <c r="I242"/>
      <c r="J242"/>
      <c r="K242"/>
      <c r="L242"/>
    </row>
    <row r="243" spans="1:12">
      <c r="A243"/>
      <c r="B243"/>
      <c r="C243"/>
      <c r="D243"/>
      <c r="E243"/>
      <c r="F243"/>
      <c r="G243"/>
      <c r="H243"/>
      <c r="I243"/>
      <c r="J243"/>
      <c r="K243"/>
      <c r="L243"/>
    </row>
    <row r="244" spans="1:12">
      <c r="A244"/>
      <c r="B244"/>
      <c r="C244"/>
      <c r="D244"/>
      <c r="E244"/>
      <c r="F244"/>
      <c r="G244"/>
      <c r="H244"/>
      <c r="I244"/>
      <c r="J244"/>
      <c r="K244"/>
      <c r="L244"/>
    </row>
    <row r="245" spans="1:12">
      <c r="A245"/>
      <c r="B245"/>
      <c r="C245"/>
      <c r="D245"/>
      <c r="E245"/>
      <c r="F245"/>
      <c r="G245"/>
      <c r="H245"/>
      <c r="I245"/>
      <c r="J245"/>
      <c r="K245"/>
      <c r="L245"/>
    </row>
    <row r="246" spans="1:12">
      <c r="A246"/>
      <c r="B246"/>
      <c r="C246"/>
      <c r="D246"/>
      <c r="E246"/>
      <c r="F246"/>
      <c r="G246"/>
      <c r="H246"/>
      <c r="I246"/>
      <c r="J246"/>
      <c r="K246"/>
      <c r="L246"/>
    </row>
    <row r="247" spans="1:12">
      <c r="A247"/>
      <c r="B247"/>
      <c r="C247"/>
      <c r="D247"/>
      <c r="E247"/>
      <c r="F247"/>
      <c r="G247"/>
      <c r="H247"/>
      <c r="I247"/>
      <c r="J247"/>
      <c r="K247"/>
      <c r="L247"/>
    </row>
    <row r="248" spans="1:12">
      <c r="A248"/>
      <c r="B248"/>
      <c r="C248"/>
      <c r="D248"/>
      <c r="E248"/>
      <c r="F248"/>
      <c r="G248"/>
      <c r="H248"/>
      <c r="I248"/>
      <c r="J248"/>
      <c r="K248"/>
      <c r="L248"/>
    </row>
    <row r="249" spans="1:12">
      <c r="A249"/>
      <c r="B249"/>
      <c r="C249"/>
      <c r="D249"/>
      <c r="E249"/>
      <c r="F249"/>
      <c r="G249"/>
      <c r="H249"/>
      <c r="I249"/>
      <c r="J249"/>
      <c r="K249"/>
      <c r="L249"/>
    </row>
    <row r="250" spans="1:12">
      <c r="A250"/>
      <c r="B250"/>
      <c r="C250"/>
      <c r="D250"/>
      <c r="E250"/>
      <c r="F250"/>
      <c r="G250"/>
      <c r="H250"/>
      <c r="I250"/>
      <c r="J250"/>
      <c r="K250"/>
      <c r="L250"/>
    </row>
    <row r="251" spans="1:12">
      <c r="A251"/>
      <c r="B251"/>
      <c r="C251"/>
      <c r="D251"/>
      <c r="E251"/>
      <c r="F251"/>
      <c r="G251"/>
      <c r="H251"/>
      <c r="I251"/>
      <c r="J251"/>
      <c r="K251"/>
      <c r="L251"/>
    </row>
    <row r="252" spans="1:12">
      <c r="A252"/>
      <c r="B252"/>
      <c r="C252"/>
      <c r="D252"/>
      <c r="E252"/>
      <c r="F252"/>
      <c r="G252"/>
      <c r="H252"/>
      <c r="I252"/>
      <c r="J252"/>
      <c r="K252"/>
      <c r="L252"/>
    </row>
    <row r="253" spans="1:12">
      <c r="A253"/>
      <c r="B253"/>
      <c r="C253"/>
      <c r="D253"/>
      <c r="E253"/>
      <c r="F253"/>
      <c r="G253"/>
      <c r="H253"/>
      <c r="I253"/>
      <c r="J253"/>
      <c r="K253"/>
      <c r="L253"/>
    </row>
    <row r="254" spans="1:12">
      <c r="A254"/>
      <c r="B254"/>
      <c r="C254"/>
      <c r="D254"/>
      <c r="E254"/>
      <c r="F254"/>
      <c r="G254"/>
      <c r="H254"/>
      <c r="I254"/>
      <c r="J254"/>
      <c r="K254"/>
      <c r="L254"/>
    </row>
    <row r="255" spans="1:12">
      <c r="A255"/>
      <c r="B255"/>
      <c r="C255"/>
      <c r="D255"/>
      <c r="E255"/>
      <c r="F255"/>
      <c r="G255"/>
      <c r="H255"/>
      <c r="I255"/>
      <c r="J255"/>
      <c r="K255"/>
      <c r="L255"/>
    </row>
    <row r="256" spans="1:12">
      <c r="A256"/>
      <c r="B256"/>
      <c r="C256"/>
      <c r="D256"/>
      <c r="E256"/>
      <c r="F256"/>
      <c r="G256"/>
      <c r="H256"/>
      <c r="I256"/>
      <c r="J256"/>
      <c r="K256"/>
      <c r="L256"/>
    </row>
    <row r="257" spans="1:12">
      <c r="A257"/>
      <c r="B257"/>
      <c r="C257"/>
      <c r="D257"/>
      <c r="E257"/>
      <c r="F257"/>
      <c r="G257"/>
      <c r="H257"/>
      <c r="I257"/>
      <c r="J257"/>
      <c r="K257"/>
      <c r="L257"/>
    </row>
    <row r="258" spans="1:12">
      <c r="A258"/>
      <c r="B258"/>
      <c r="C258"/>
      <c r="D258"/>
      <c r="E258"/>
      <c r="F258"/>
      <c r="G258"/>
      <c r="H258"/>
      <c r="I258"/>
      <c r="J258"/>
      <c r="K258"/>
      <c r="L258"/>
    </row>
    <row r="259" spans="1:12">
      <c r="A259"/>
      <c r="B259"/>
      <c r="C259"/>
      <c r="D259"/>
      <c r="E259"/>
      <c r="F259"/>
      <c r="G259"/>
      <c r="H259"/>
      <c r="I259"/>
      <c r="J259"/>
      <c r="K259"/>
      <c r="L259"/>
    </row>
    <row r="260" spans="1:12">
      <c r="A260"/>
      <c r="B260"/>
      <c r="C260"/>
      <c r="D260"/>
      <c r="E260"/>
      <c r="F260"/>
      <c r="G260"/>
      <c r="H260"/>
      <c r="I260"/>
      <c r="J260"/>
      <c r="K260"/>
      <c r="L260"/>
    </row>
    <row r="261" spans="1:12">
      <c r="A261"/>
      <c r="B261"/>
      <c r="C261"/>
      <c r="D261"/>
      <c r="E261"/>
      <c r="F261"/>
      <c r="G261"/>
      <c r="H261"/>
      <c r="I261"/>
      <c r="J261"/>
      <c r="K261"/>
      <c r="L261"/>
    </row>
    <row r="262" spans="1:12">
      <c r="A262"/>
      <c r="B262"/>
      <c r="C262"/>
      <c r="D262"/>
      <c r="E262"/>
      <c r="F262"/>
      <c r="G262"/>
      <c r="H262"/>
      <c r="I262"/>
      <c r="J262"/>
      <c r="K262"/>
      <c r="L262"/>
    </row>
    <row r="263" spans="1:12">
      <c r="A263"/>
      <c r="B263"/>
      <c r="C263"/>
      <c r="D263"/>
      <c r="E263"/>
      <c r="F263"/>
      <c r="G263"/>
      <c r="H263"/>
      <c r="I263"/>
      <c r="J263"/>
      <c r="K263"/>
      <c r="L263"/>
    </row>
    <row r="264" spans="1:12">
      <c r="A264"/>
      <c r="B264"/>
      <c r="C264"/>
      <c r="D264"/>
      <c r="E264"/>
      <c r="F264"/>
      <c r="G264"/>
      <c r="H264"/>
      <c r="I264"/>
      <c r="J264"/>
      <c r="K264"/>
      <c r="L264"/>
    </row>
    <row r="265" spans="1:12">
      <c r="A265"/>
      <c r="B265"/>
      <c r="C265"/>
      <c r="D265"/>
      <c r="E265"/>
      <c r="F265"/>
      <c r="G265"/>
      <c r="H265"/>
      <c r="I265"/>
      <c r="J265"/>
      <c r="K265"/>
      <c r="L265"/>
    </row>
    <row r="266" spans="1:12">
      <c r="A266"/>
      <c r="B266"/>
      <c r="C266"/>
      <c r="D266"/>
      <c r="E266"/>
      <c r="F266"/>
      <c r="G266"/>
      <c r="H266"/>
      <c r="I266"/>
      <c r="J266"/>
      <c r="K266"/>
      <c r="L266"/>
    </row>
    <row r="267" spans="1:12">
      <c r="A267"/>
      <c r="B267"/>
      <c r="C267"/>
      <c r="D267"/>
      <c r="E267"/>
      <c r="F267"/>
      <c r="G267"/>
      <c r="H267"/>
      <c r="I267"/>
      <c r="J267"/>
      <c r="K267"/>
      <c r="L267"/>
    </row>
    <row r="268" spans="1:12">
      <c r="A268"/>
      <c r="B268"/>
      <c r="C268"/>
      <c r="D268"/>
      <c r="E268"/>
      <c r="F268"/>
      <c r="G268"/>
      <c r="H268"/>
      <c r="I268"/>
      <c r="J268"/>
      <c r="K268"/>
      <c r="L268"/>
    </row>
    <row r="269" spans="1:12">
      <c r="A269"/>
      <c r="B269"/>
      <c r="C269"/>
      <c r="D269"/>
      <c r="E269"/>
      <c r="F269"/>
      <c r="G269"/>
      <c r="H269"/>
      <c r="I269"/>
      <c r="J269"/>
      <c r="K269"/>
      <c r="L269"/>
    </row>
    <row r="270" spans="1:12">
      <c r="A270"/>
      <c r="B270"/>
      <c r="C270"/>
      <c r="D270"/>
      <c r="E270"/>
      <c r="F270"/>
      <c r="G270"/>
      <c r="H270"/>
      <c r="I270"/>
      <c r="J270"/>
      <c r="K270"/>
      <c r="L270"/>
    </row>
    <row r="271" spans="1:12">
      <c r="A271"/>
      <c r="B271"/>
      <c r="C271"/>
      <c r="D271"/>
      <c r="E271"/>
      <c r="F271"/>
      <c r="G271"/>
      <c r="H271"/>
      <c r="I271"/>
      <c r="J271"/>
      <c r="K271"/>
      <c r="L271"/>
    </row>
    <row r="272" spans="1:12">
      <c r="A272"/>
      <c r="B272"/>
      <c r="C272"/>
      <c r="D272"/>
      <c r="E272"/>
      <c r="F272"/>
      <c r="G272"/>
      <c r="H272"/>
      <c r="I272"/>
      <c r="J272"/>
      <c r="K272"/>
      <c r="L272"/>
    </row>
    <row r="273" spans="1:12">
      <c r="A273"/>
      <c r="B273"/>
      <c r="C273"/>
      <c r="D273"/>
      <c r="E273"/>
      <c r="F273"/>
      <c r="G273"/>
      <c r="H273"/>
      <c r="I273"/>
      <c r="J273"/>
      <c r="K273"/>
      <c r="L273"/>
    </row>
    <row r="274" spans="1:12">
      <c r="A274"/>
      <c r="B274"/>
      <c r="C274"/>
      <c r="D274"/>
      <c r="E274"/>
      <c r="F274"/>
      <c r="G274"/>
      <c r="H274"/>
      <c r="I274"/>
      <c r="J274"/>
      <c r="K274"/>
      <c r="L274"/>
    </row>
    <row r="275" spans="1:12">
      <c r="A275"/>
      <c r="B275"/>
      <c r="C275"/>
      <c r="D275"/>
      <c r="E275"/>
      <c r="F275"/>
      <c r="G275"/>
      <c r="H275"/>
      <c r="I275"/>
      <c r="J275"/>
      <c r="K275"/>
      <c r="L275"/>
    </row>
    <row r="276" spans="1:12">
      <c r="A276"/>
      <c r="B276"/>
      <c r="C276"/>
      <c r="D276"/>
      <c r="E276"/>
      <c r="F276"/>
      <c r="G276"/>
      <c r="H276"/>
      <c r="I276"/>
      <c r="J276"/>
      <c r="K276"/>
      <c r="L276"/>
    </row>
    <row r="277" spans="1:12">
      <c r="A277"/>
      <c r="B277"/>
      <c r="C277"/>
      <c r="D277"/>
      <c r="E277"/>
      <c r="F277"/>
      <c r="G277"/>
      <c r="H277"/>
      <c r="I277"/>
      <c r="J277"/>
      <c r="K277"/>
      <c r="L277"/>
    </row>
    <row r="278" spans="1:12">
      <c r="A278"/>
      <c r="B278"/>
      <c r="C278"/>
      <c r="D278"/>
      <c r="E278"/>
      <c r="F278"/>
      <c r="G278"/>
      <c r="H278"/>
      <c r="I278"/>
      <c r="J278"/>
      <c r="K278"/>
      <c r="L278"/>
    </row>
    <row r="279" spans="1:12">
      <c r="A279"/>
      <c r="B279"/>
      <c r="C279"/>
      <c r="D279"/>
      <c r="E279"/>
      <c r="F279"/>
      <c r="G279"/>
      <c r="H279"/>
      <c r="I279"/>
      <c r="J279"/>
      <c r="K279"/>
      <c r="L279"/>
    </row>
    <row r="280" spans="1:12">
      <c r="A280"/>
      <c r="B280"/>
      <c r="C280"/>
      <c r="D280"/>
      <c r="E280"/>
      <c r="F280"/>
      <c r="G280"/>
      <c r="H280"/>
      <c r="I280"/>
      <c r="J280"/>
      <c r="K280"/>
      <c r="L280"/>
    </row>
    <row r="281" spans="1:12">
      <c r="A281"/>
      <c r="B281"/>
      <c r="C281"/>
      <c r="D281"/>
      <c r="E281"/>
      <c r="F281"/>
      <c r="G281"/>
      <c r="H281"/>
      <c r="I281"/>
      <c r="J281"/>
      <c r="K281"/>
      <c r="L281"/>
    </row>
    <row r="282" spans="1:12">
      <c r="A282"/>
      <c r="B282"/>
      <c r="C282"/>
      <c r="D282"/>
      <c r="E282"/>
      <c r="F282"/>
      <c r="G282"/>
      <c r="H282"/>
      <c r="I282"/>
      <c r="J282"/>
      <c r="K282"/>
      <c r="L282"/>
    </row>
    <row r="283" spans="1:12">
      <c r="A283"/>
      <c r="B283"/>
      <c r="C283"/>
      <c r="D283"/>
      <c r="E283"/>
      <c r="F283"/>
      <c r="G283"/>
      <c r="H283"/>
      <c r="I283"/>
      <c r="J283"/>
      <c r="K283"/>
      <c r="L283"/>
    </row>
    <row r="284" spans="1:12">
      <c r="A284"/>
      <c r="B284"/>
      <c r="C284"/>
      <c r="D284"/>
      <c r="E284"/>
      <c r="F284"/>
      <c r="G284"/>
      <c r="H284"/>
      <c r="I284"/>
      <c r="J284"/>
      <c r="K284"/>
      <c r="L284"/>
    </row>
    <row r="285" spans="1:12">
      <c r="A285"/>
      <c r="B285"/>
      <c r="C285"/>
      <c r="D285"/>
      <c r="E285"/>
      <c r="F285"/>
      <c r="G285"/>
      <c r="H285"/>
      <c r="I285"/>
      <c r="J285"/>
      <c r="K285"/>
      <c r="L285"/>
    </row>
    <row r="286" spans="1:12">
      <c r="A286"/>
      <c r="B286"/>
      <c r="C286"/>
      <c r="D286"/>
      <c r="E286"/>
      <c r="F286"/>
      <c r="G286"/>
      <c r="H286"/>
      <c r="I286"/>
      <c r="J286"/>
      <c r="K286"/>
      <c r="L286"/>
    </row>
    <row r="287" spans="1:12">
      <c r="A287"/>
      <c r="B287"/>
      <c r="C287"/>
      <c r="D287"/>
      <c r="E287"/>
      <c r="F287"/>
      <c r="G287"/>
      <c r="H287"/>
      <c r="I287"/>
      <c r="J287"/>
      <c r="K287"/>
      <c r="L287"/>
    </row>
    <row r="288" spans="1:12">
      <c r="A288"/>
      <c r="B288"/>
      <c r="C288"/>
      <c r="D288"/>
      <c r="E288"/>
      <c r="F288"/>
      <c r="G288"/>
      <c r="H288"/>
      <c r="I288"/>
      <c r="J288"/>
      <c r="K288"/>
      <c r="L288"/>
    </row>
    <row r="289" spans="1:12">
      <c r="A289"/>
      <c r="B289"/>
      <c r="C289"/>
      <c r="D289"/>
      <c r="E289"/>
      <c r="F289"/>
      <c r="G289"/>
      <c r="H289"/>
      <c r="I289"/>
      <c r="J289"/>
      <c r="K289"/>
      <c r="L289"/>
    </row>
    <row r="290" spans="1:12">
      <c r="A290"/>
      <c r="B290"/>
      <c r="C290"/>
      <c r="D290"/>
      <c r="E290"/>
      <c r="F290"/>
      <c r="G290"/>
      <c r="H290"/>
      <c r="I290"/>
      <c r="J290"/>
      <c r="K290"/>
      <c r="L290"/>
    </row>
    <row r="291" spans="1:12">
      <c r="A291"/>
      <c r="B291"/>
      <c r="C291"/>
      <c r="D291"/>
      <c r="E291"/>
      <c r="F291"/>
      <c r="G291"/>
      <c r="H291"/>
      <c r="I291"/>
      <c r="J291"/>
      <c r="K291"/>
      <c r="L291"/>
    </row>
    <row r="292" spans="1:12">
      <c r="A292"/>
      <c r="B292"/>
      <c r="C292"/>
      <c r="D292"/>
      <c r="E292"/>
      <c r="F292"/>
      <c r="G292"/>
      <c r="H292"/>
      <c r="I292"/>
      <c r="J292"/>
      <c r="K292"/>
      <c r="L292"/>
    </row>
    <row r="293" spans="1:12">
      <c r="A293"/>
      <c r="B293"/>
      <c r="C293"/>
      <c r="D293"/>
      <c r="E293"/>
      <c r="F293"/>
      <c r="G293"/>
      <c r="H293"/>
      <c r="I293"/>
      <c r="J293"/>
      <c r="K293"/>
      <c r="L293"/>
    </row>
    <row r="294" spans="1:12">
      <c r="A294"/>
      <c r="B294"/>
      <c r="C294"/>
      <c r="D294"/>
      <c r="E294"/>
      <c r="F294"/>
      <c r="G294"/>
      <c r="H294"/>
      <c r="I294"/>
      <c r="J294"/>
      <c r="K294"/>
      <c r="L294"/>
    </row>
    <row r="295" spans="1:12">
      <c r="A295"/>
      <c r="B295"/>
      <c r="C295"/>
      <c r="D295"/>
      <c r="E295"/>
      <c r="F295"/>
      <c r="G295"/>
      <c r="H295"/>
      <c r="I295"/>
      <c r="J295"/>
      <c r="K295"/>
      <c r="L295"/>
    </row>
    <row r="296" spans="1:12">
      <c r="A296"/>
      <c r="B296"/>
      <c r="C296"/>
      <c r="D296"/>
      <c r="E296"/>
      <c r="F296"/>
      <c r="G296"/>
      <c r="H296"/>
      <c r="I296"/>
      <c r="J296"/>
      <c r="K296"/>
      <c r="L296"/>
    </row>
    <row r="297" spans="1:12">
      <c r="A297"/>
      <c r="B297"/>
      <c r="C297"/>
      <c r="D297"/>
      <c r="E297"/>
      <c r="F297"/>
      <c r="G297"/>
      <c r="H297"/>
      <c r="I297"/>
      <c r="J297"/>
      <c r="K297"/>
      <c r="L297"/>
    </row>
    <row r="298" spans="1:12">
      <c r="A298"/>
      <c r="B298"/>
      <c r="C298"/>
      <c r="D298"/>
      <c r="E298"/>
      <c r="F298"/>
      <c r="G298"/>
      <c r="H298"/>
      <c r="I298"/>
      <c r="J298"/>
      <c r="K298"/>
      <c r="L298"/>
    </row>
    <row r="299" spans="1:12">
      <c r="A299"/>
      <c r="B299"/>
      <c r="C299"/>
      <c r="D299"/>
      <c r="E299"/>
      <c r="F299"/>
      <c r="G299"/>
      <c r="H299"/>
      <c r="I299"/>
      <c r="J299"/>
      <c r="K299"/>
      <c r="L299"/>
    </row>
    <row r="300" spans="1:12">
      <c r="A300"/>
      <c r="B300"/>
      <c r="C300"/>
      <c r="D300"/>
      <c r="E300"/>
      <c r="F300"/>
      <c r="G300"/>
      <c r="H300"/>
      <c r="I300"/>
      <c r="J300"/>
      <c r="K300"/>
      <c r="L300"/>
    </row>
    <row r="301" spans="1:12">
      <c r="A301"/>
      <c r="B301"/>
      <c r="C301"/>
      <c r="D301"/>
      <c r="E301"/>
      <c r="F301"/>
      <c r="G301"/>
      <c r="H301"/>
      <c r="I301"/>
      <c r="J301"/>
      <c r="K301"/>
      <c r="L301"/>
    </row>
    <row r="302" spans="1:12">
      <c r="A302"/>
      <c r="B302"/>
      <c r="C302"/>
      <c r="D302"/>
      <c r="E302"/>
      <c r="F302"/>
      <c r="G302"/>
      <c r="H302"/>
      <c r="I302"/>
      <c r="J302"/>
      <c r="K302"/>
      <c r="L302"/>
    </row>
    <row r="303" spans="1:12">
      <c r="A303"/>
      <c r="B303"/>
      <c r="C303"/>
      <c r="D303"/>
      <c r="E303"/>
      <c r="F303"/>
      <c r="G303"/>
      <c r="H303"/>
      <c r="I303"/>
      <c r="J303"/>
      <c r="K303"/>
      <c r="L303"/>
    </row>
    <row r="304" spans="1:12">
      <c r="A304"/>
      <c r="B304"/>
      <c r="C304"/>
      <c r="D304"/>
      <c r="E304"/>
      <c r="F304"/>
      <c r="G304"/>
      <c r="H304"/>
      <c r="I304"/>
      <c r="J304"/>
      <c r="K304"/>
      <c r="L304"/>
    </row>
    <row r="305" spans="1:12">
      <c r="A305"/>
      <c r="B305"/>
      <c r="C305"/>
      <c r="D305"/>
      <c r="E305"/>
      <c r="F305"/>
      <c r="G305"/>
      <c r="H305"/>
      <c r="I305"/>
      <c r="J305"/>
      <c r="K305"/>
      <c r="L305"/>
    </row>
    <row r="306" spans="1:12">
      <c r="A306"/>
      <c r="B306"/>
      <c r="C306"/>
      <c r="D306"/>
      <c r="E306"/>
      <c r="F306"/>
      <c r="G306"/>
      <c r="H306"/>
      <c r="I306"/>
      <c r="J306"/>
      <c r="K306"/>
      <c r="L306"/>
    </row>
    <row r="307" spans="1:12">
      <c r="A307"/>
      <c r="B307"/>
      <c r="C307"/>
      <c r="D307"/>
      <c r="E307"/>
      <c r="F307"/>
      <c r="G307"/>
      <c r="H307"/>
      <c r="I307"/>
      <c r="J307"/>
      <c r="K307"/>
      <c r="L307"/>
    </row>
    <row r="308" spans="1:12">
      <c r="A308"/>
      <c r="B308"/>
      <c r="C308"/>
      <c r="D308"/>
      <c r="E308"/>
      <c r="F308"/>
      <c r="G308"/>
      <c r="H308"/>
      <c r="I308"/>
      <c r="J308"/>
      <c r="K308"/>
      <c r="L308"/>
    </row>
    <row r="309" spans="1:12">
      <c r="A309"/>
      <c r="B309"/>
      <c r="C309"/>
      <c r="D309"/>
      <c r="E309"/>
      <c r="F309"/>
      <c r="G309"/>
      <c r="H309"/>
      <c r="I309"/>
      <c r="J309"/>
      <c r="K309"/>
      <c r="L309"/>
    </row>
    <row r="310" spans="1:12">
      <c r="A310"/>
      <c r="B310"/>
      <c r="C310"/>
      <c r="D310"/>
      <c r="E310"/>
      <c r="F310"/>
      <c r="G310"/>
      <c r="H310"/>
      <c r="I310"/>
      <c r="J310"/>
      <c r="K310"/>
      <c r="L310"/>
    </row>
    <row r="311" spans="1:12">
      <c r="A311"/>
      <c r="B311"/>
      <c r="C311"/>
      <c r="D311"/>
      <c r="E311"/>
      <c r="F311"/>
      <c r="G311"/>
      <c r="H311"/>
      <c r="I311"/>
      <c r="J311"/>
      <c r="K311"/>
      <c r="L311"/>
    </row>
    <row r="312" spans="1:12">
      <c r="A312"/>
      <c r="B312"/>
      <c r="C312"/>
      <c r="D312"/>
      <c r="E312"/>
      <c r="F312"/>
      <c r="G312"/>
      <c r="H312"/>
      <c r="I312"/>
      <c r="J312"/>
      <c r="K312"/>
      <c r="L312"/>
    </row>
    <row r="313" spans="1:12">
      <c r="A313"/>
      <c r="B313"/>
      <c r="C313"/>
      <c r="D313"/>
      <c r="E313"/>
      <c r="F313"/>
      <c r="G313"/>
      <c r="H313"/>
      <c r="I313"/>
      <c r="J313"/>
      <c r="K313"/>
      <c r="L313"/>
    </row>
    <row r="314" spans="1:12">
      <c r="A314"/>
      <c r="B314"/>
      <c r="C314"/>
      <c r="D314"/>
      <c r="E314"/>
      <c r="F314"/>
      <c r="G314"/>
      <c r="H314"/>
      <c r="I314"/>
      <c r="J314"/>
      <c r="K314"/>
      <c r="L314"/>
    </row>
    <row r="315" spans="1:12">
      <c r="A315"/>
      <c r="B315"/>
      <c r="C315"/>
      <c r="D315"/>
      <c r="E315"/>
      <c r="F315"/>
      <c r="G315"/>
      <c r="H315"/>
      <c r="I315"/>
      <c r="J315"/>
      <c r="K315"/>
      <c r="L315"/>
    </row>
    <row r="316" spans="1:12">
      <c r="A316"/>
      <c r="B316"/>
      <c r="C316"/>
      <c r="D316"/>
      <c r="E316"/>
      <c r="F316"/>
      <c r="G316"/>
      <c r="H316"/>
      <c r="I316"/>
      <c r="J316"/>
      <c r="K316"/>
      <c r="L316"/>
    </row>
    <row r="317" spans="1:12">
      <c r="A317"/>
      <c r="B317"/>
      <c r="C317"/>
      <c r="D317"/>
      <c r="E317"/>
      <c r="F317"/>
      <c r="G317"/>
      <c r="H317"/>
      <c r="I317"/>
      <c r="J317"/>
      <c r="K317"/>
      <c r="L317"/>
    </row>
    <row r="318" spans="1:12">
      <c r="A318"/>
      <c r="B318"/>
      <c r="C318"/>
      <c r="D318"/>
      <c r="E318"/>
      <c r="F318"/>
      <c r="G318"/>
      <c r="H318"/>
      <c r="I318"/>
      <c r="J318"/>
      <c r="K318"/>
      <c r="L318"/>
    </row>
    <row r="319" spans="1:12">
      <c r="A319"/>
      <c r="B319"/>
      <c r="C319"/>
      <c r="D319"/>
      <c r="E319"/>
      <c r="F319"/>
      <c r="G319"/>
      <c r="H319"/>
      <c r="I319"/>
      <c r="J319"/>
      <c r="K319"/>
      <c r="L319"/>
    </row>
    <row r="320" spans="1:12">
      <c r="A320"/>
      <c r="B320"/>
      <c r="C320"/>
      <c r="D320"/>
      <c r="E320"/>
      <c r="F320"/>
      <c r="G320"/>
      <c r="H320"/>
      <c r="I320"/>
      <c r="J320"/>
      <c r="K320"/>
      <c r="L320"/>
    </row>
    <row r="321" spans="1:12">
      <c r="A321"/>
      <c r="B321"/>
      <c r="C321"/>
      <c r="D321"/>
      <c r="E321"/>
      <c r="F321"/>
      <c r="G321"/>
      <c r="H321"/>
      <c r="I321"/>
      <c r="J321"/>
      <c r="K321"/>
      <c r="L321"/>
    </row>
    <row r="322" spans="1:12">
      <c r="A322"/>
      <c r="B322"/>
      <c r="C322"/>
      <c r="D322"/>
      <c r="E322"/>
      <c r="F322"/>
      <c r="G322"/>
      <c r="H322"/>
      <c r="I322"/>
      <c r="J322"/>
      <c r="K322"/>
      <c r="L322"/>
    </row>
    <row r="323" spans="1:12">
      <c r="A323"/>
      <c r="B323"/>
      <c r="C323"/>
      <c r="D323"/>
      <c r="E323"/>
      <c r="F323"/>
      <c r="G323"/>
      <c r="H323"/>
      <c r="I323"/>
      <c r="J323"/>
      <c r="K323"/>
      <c r="L323"/>
    </row>
    <row r="324" spans="1:12">
      <c r="A324"/>
      <c r="B324"/>
      <c r="C324"/>
      <c r="D324"/>
      <c r="E324"/>
      <c r="F324"/>
      <c r="G324"/>
      <c r="H324"/>
      <c r="I324"/>
      <c r="J324"/>
      <c r="K324"/>
      <c r="L324"/>
    </row>
    <row r="325" spans="1:12">
      <c r="A325"/>
      <c r="B325"/>
      <c r="C325"/>
      <c r="D325"/>
      <c r="E325"/>
      <c r="F325"/>
      <c r="G325"/>
      <c r="H325"/>
      <c r="I325"/>
      <c r="J325"/>
      <c r="K325"/>
      <c r="L325"/>
    </row>
    <row r="326" spans="1:12">
      <c r="A326"/>
      <c r="B326"/>
      <c r="C326"/>
      <c r="D326"/>
      <c r="E326"/>
      <c r="F326"/>
      <c r="G326"/>
      <c r="H326"/>
      <c r="I326"/>
      <c r="J326"/>
      <c r="K326"/>
      <c r="L326"/>
    </row>
    <row r="327" spans="1:12">
      <c r="A327"/>
      <c r="B327"/>
      <c r="C327"/>
      <c r="D327"/>
      <c r="E327"/>
      <c r="F327"/>
      <c r="G327"/>
      <c r="H327"/>
      <c r="I327"/>
      <c r="J327"/>
      <c r="K327"/>
      <c r="L327"/>
    </row>
    <row r="328" spans="1:12">
      <c r="A328"/>
      <c r="B328"/>
      <c r="C328"/>
      <c r="D328"/>
      <c r="E328"/>
      <c r="F328"/>
      <c r="G328"/>
      <c r="H328"/>
      <c r="I328"/>
      <c r="J328"/>
      <c r="K328"/>
      <c r="L328"/>
    </row>
    <row r="329" spans="1:12">
      <c r="A329"/>
      <c r="B329"/>
      <c r="C329"/>
      <c r="D329"/>
      <c r="E329"/>
      <c r="F329"/>
      <c r="G329"/>
      <c r="H329"/>
      <c r="I329"/>
      <c r="J329"/>
      <c r="K329"/>
      <c r="L329"/>
    </row>
    <row r="330" spans="1:12">
      <c r="A330"/>
      <c r="B330"/>
      <c r="C330"/>
      <c r="D330"/>
      <c r="E330"/>
      <c r="F330"/>
      <c r="G330"/>
      <c r="H330"/>
      <c r="I330"/>
      <c r="J330"/>
      <c r="K330"/>
      <c r="L330"/>
    </row>
    <row r="331" spans="1:12">
      <c r="A331"/>
      <c r="B331"/>
      <c r="C331"/>
      <c r="D331"/>
      <c r="E331"/>
      <c r="F331"/>
      <c r="G331"/>
      <c r="H331"/>
      <c r="I331"/>
      <c r="J331"/>
      <c r="K331"/>
      <c r="L331"/>
    </row>
    <row r="332" spans="1:12">
      <c r="A332"/>
      <c r="B332"/>
      <c r="C332"/>
      <c r="D332"/>
      <c r="E332"/>
      <c r="F332"/>
      <c r="G332"/>
      <c r="H332"/>
      <c r="I332"/>
      <c r="J332"/>
      <c r="K332"/>
      <c r="L332"/>
    </row>
    <row r="333" spans="1:12">
      <c r="A333"/>
      <c r="B333"/>
      <c r="C333"/>
      <c r="D333"/>
      <c r="E333"/>
      <c r="F333"/>
      <c r="G333"/>
      <c r="H333"/>
      <c r="I333"/>
      <c r="J333"/>
      <c r="K333"/>
      <c r="L333"/>
    </row>
    <row r="334" spans="1:12">
      <c r="A334"/>
      <c r="B334"/>
      <c r="C334"/>
      <c r="D334"/>
      <c r="E334"/>
      <c r="F334"/>
      <c r="G334"/>
      <c r="H334"/>
      <c r="I334"/>
      <c r="J334"/>
      <c r="K334"/>
      <c r="L334"/>
    </row>
    <row r="335" spans="1:12">
      <c r="A335"/>
      <c r="B335"/>
      <c r="C335"/>
      <c r="D335"/>
      <c r="E335"/>
      <c r="F335"/>
      <c r="G335"/>
      <c r="H335"/>
      <c r="I335"/>
      <c r="J335"/>
      <c r="K335"/>
      <c r="L335"/>
    </row>
    <row r="336" spans="1:12">
      <c r="A336"/>
      <c r="B336"/>
      <c r="C336"/>
      <c r="D336"/>
      <c r="E336"/>
      <c r="F336"/>
      <c r="G336"/>
      <c r="H336"/>
      <c r="I336"/>
      <c r="J336"/>
      <c r="K336"/>
      <c r="L336"/>
    </row>
    <row r="337" spans="1:12">
      <c r="A337"/>
      <c r="B337"/>
      <c r="C337"/>
      <c r="D337"/>
      <c r="E337"/>
      <c r="F337"/>
      <c r="G337"/>
      <c r="H337"/>
      <c r="I337"/>
      <c r="J337"/>
      <c r="K337"/>
      <c r="L337"/>
    </row>
    <row r="338" spans="1:12">
      <c r="A338"/>
      <c r="B338"/>
      <c r="C338"/>
      <c r="D338"/>
      <c r="E338"/>
      <c r="F338"/>
      <c r="G338"/>
      <c r="H338"/>
      <c r="I338"/>
      <c r="J338"/>
      <c r="K338"/>
      <c r="L338"/>
    </row>
    <row r="339" spans="1:12">
      <c r="A339"/>
      <c r="B339"/>
      <c r="C339"/>
      <c r="D339"/>
      <c r="E339"/>
      <c r="F339"/>
      <c r="G339"/>
      <c r="H339"/>
      <c r="I339"/>
      <c r="J339"/>
      <c r="K339"/>
      <c r="L339"/>
    </row>
    <row r="340" spans="1:12">
      <c r="A340"/>
      <c r="B340"/>
      <c r="C340"/>
      <c r="D340"/>
      <c r="E340"/>
      <c r="F340"/>
      <c r="G340"/>
      <c r="H340"/>
      <c r="I340"/>
      <c r="J340"/>
      <c r="K340"/>
      <c r="L340"/>
    </row>
    <row r="341" spans="1:12">
      <c r="A341"/>
      <c r="B341"/>
      <c r="C341"/>
      <c r="D341"/>
      <c r="E341"/>
      <c r="F341"/>
      <c r="G341"/>
      <c r="H341"/>
      <c r="I341"/>
      <c r="J341"/>
      <c r="K341"/>
      <c r="L341"/>
    </row>
    <row r="342" spans="1:12">
      <c r="A342"/>
      <c r="B342"/>
      <c r="C342"/>
      <c r="D342"/>
      <c r="E342"/>
      <c r="F342"/>
      <c r="G342"/>
      <c r="H342"/>
      <c r="I342"/>
      <c r="J342"/>
      <c r="K342"/>
      <c r="L342"/>
    </row>
    <row r="343" spans="1:12">
      <c r="A343"/>
      <c r="B343"/>
      <c r="C343"/>
      <c r="D343"/>
      <c r="E343"/>
      <c r="F343"/>
      <c r="G343"/>
      <c r="H343"/>
      <c r="I343"/>
      <c r="J343"/>
      <c r="K343"/>
      <c r="L343"/>
    </row>
    <row r="344" spans="1:12">
      <c r="A344"/>
      <c r="B344"/>
      <c r="C344"/>
      <c r="D344"/>
      <c r="E344"/>
      <c r="F344"/>
      <c r="G344"/>
      <c r="H344"/>
      <c r="I344"/>
      <c r="J344"/>
      <c r="K344"/>
      <c r="L344"/>
    </row>
    <row r="345" spans="1:12">
      <c r="A345"/>
      <c r="B345"/>
      <c r="C345"/>
      <c r="D345"/>
      <c r="E345"/>
      <c r="F345"/>
      <c r="G345"/>
      <c r="H345"/>
      <c r="I345"/>
      <c r="J345"/>
      <c r="K345"/>
      <c r="L345"/>
    </row>
    <row r="346" spans="1:12">
      <c r="A346"/>
      <c r="B346"/>
      <c r="C346"/>
      <c r="D346"/>
      <c r="E346"/>
      <c r="F346"/>
      <c r="G346"/>
      <c r="H346"/>
      <c r="I346"/>
      <c r="J346"/>
      <c r="K346"/>
      <c r="L346"/>
    </row>
    <row r="347" spans="1:12">
      <c r="A347"/>
      <c r="B347"/>
      <c r="C347"/>
      <c r="D347"/>
      <c r="E347"/>
      <c r="F347"/>
      <c r="G347"/>
      <c r="H347"/>
      <c r="I347"/>
      <c r="J347"/>
      <c r="K347"/>
      <c r="L347"/>
    </row>
    <row r="348" spans="1:12">
      <c r="A348"/>
      <c r="B348"/>
      <c r="C348"/>
      <c r="D348"/>
      <c r="E348"/>
      <c r="F348"/>
      <c r="G348"/>
      <c r="H348"/>
      <c r="I348"/>
      <c r="J348"/>
      <c r="K348"/>
      <c r="L348"/>
    </row>
    <row r="349" spans="1:12">
      <c r="A349"/>
      <c r="B349"/>
      <c r="C349"/>
      <c r="D349"/>
      <c r="E349"/>
      <c r="F349"/>
      <c r="G349"/>
      <c r="H349"/>
      <c r="I349"/>
      <c r="J349"/>
      <c r="K349"/>
      <c r="L349"/>
    </row>
    <row r="350" spans="1:12">
      <c r="A350"/>
      <c r="B350"/>
      <c r="C350"/>
      <c r="D350"/>
      <c r="E350"/>
      <c r="F350"/>
      <c r="G350"/>
      <c r="H350"/>
      <c r="I350"/>
      <c r="J350"/>
      <c r="K350"/>
      <c r="L350"/>
    </row>
    <row r="351" spans="1:12">
      <c r="A351"/>
      <c r="B351"/>
      <c r="C351"/>
      <c r="D351"/>
      <c r="E351"/>
      <c r="F351"/>
      <c r="G351"/>
      <c r="H351"/>
      <c r="I351"/>
      <c r="J351"/>
      <c r="K351"/>
      <c r="L351"/>
    </row>
    <row r="352" spans="1:12">
      <c r="A352"/>
      <c r="B352"/>
      <c r="C352"/>
      <c r="D352"/>
      <c r="E352"/>
      <c r="F352"/>
      <c r="G352"/>
      <c r="H352"/>
      <c r="I352"/>
      <c r="J352"/>
      <c r="K352"/>
      <c r="L352"/>
    </row>
    <row r="353" spans="1:12">
      <c r="A353"/>
      <c r="B353"/>
      <c r="C353"/>
      <c r="D353"/>
      <c r="E353"/>
      <c r="F353"/>
      <c r="G353"/>
      <c r="H353"/>
      <c r="I353"/>
      <c r="J353"/>
      <c r="K353"/>
      <c r="L353"/>
    </row>
    <row r="354" spans="1:12">
      <c r="A354"/>
      <c r="B354"/>
      <c r="C354"/>
      <c r="D354"/>
      <c r="E354"/>
      <c r="F354"/>
      <c r="G354"/>
      <c r="H354"/>
      <c r="I354"/>
      <c r="J354"/>
      <c r="K354"/>
      <c r="L354"/>
    </row>
    <row r="355" spans="1:12">
      <c r="A355"/>
      <c r="B355"/>
      <c r="C355"/>
      <c r="D355"/>
      <c r="E355"/>
      <c r="F355"/>
      <c r="G355"/>
      <c r="H355"/>
      <c r="I355"/>
      <c r="J355"/>
      <c r="K355"/>
      <c r="L355"/>
    </row>
    <row r="356" spans="1:12">
      <c r="A356"/>
      <c r="B356"/>
      <c r="C356"/>
      <c r="D356"/>
      <c r="E356"/>
      <c r="F356"/>
      <c r="G356"/>
      <c r="H356"/>
      <c r="I356"/>
      <c r="J356"/>
      <c r="K356"/>
      <c r="L356"/>
    </row>
    <row r="357" spans="1:12">
      <c r="A357"/>
      <c r="B357"/>
      <c r="C357"/>
      <c r="D357"/>
      <c r="E357"/>
      <c r="F357"/>
      <c r="G357"/>
      <c r="H357"/>
      <c r="I357"/>
      <c r="J357"/>
      <c r="K357"/>
      <c r="L357"/>
    </row>
    <row r="358" spans="1:12">
      <c r="A358"/>
      <c r="B358"/>
      <c r="C358"/>
      <c r="D358"/>
      <c r="E358"/>
      <c r="F358"/>
      <c r="G358"/>
      <c r="H358"/>
      <c r="I358"/>
      <c r="J358"/>
      <c r="K358"/>
      <c r="L358"/>
    </row>
    <row r="359" spans="1:12">
      <c r="A359"/>
      <c r="B359"/>
      <c r="C359"/>
      <c r="D359"/>
      <c r="E359"/>
      <c r="F359"/>
      <c r="G359"/>
      <c r="H359"/>
      <c r="I359"/>
      <c r="J359"/>
      <c r="K359"/>
      <c r="L359"/>
    </row>
    <row r="360" spans="1:12">
      <c r="A360"/>
      <c r="B360"/>
      <c r="C360"/>
      <c r="D360"/>
      <c r="E360"/>
      <c r="F360"/>
      <c r="G360"/>
      <c r="H360"/>
      <c r="I360"/>
      <c r="J360"/>
      <c r="K360"/>
      <c r="L360"/>
    </row>
    <row r="361" spans="1:12">
      <c r="A361"/>
      <c r="B361"/>
      <c r="C361"/>
      <c r="D361"/>
      <c r="E361"/>
      <c r="F361"/>
      <c r="G361"/>
      <c r="H361"/>
      <c r="I361"/>
      <c r="J361"/>
      <c r="K361"/>
      <c r="L361"/>
    </row>
    <row r="362" spans="1:12">
      <c r="A362"/>
      <c r="B362"/>
      <c r="C362"/>
      <c r="D362"/>
      <c r="E362"/>
      <c r="F362"/>
      <c r="G362"/>
      <c r="H362"/>
      <c r="I362"/>
      <c r="J362"/>
      <c r="K362"/>
      <c r="L362"/>
    </row>
    <row r="363" spans="1:12">
      <c r="A363"/>
      <c r="B363"/>
      <c r="C363"/>
      <c r="D363"/>
      <c r="E363"/>
      <c r="F363"/>
      <c r="G363"/>
      <c r="H363"/>
      <c r="I363"/>
      <c r="J363"/>
      <c r="K363"/>
      <c r="L363"/>
    </row>
    <row r="364" spans="1:12">
      <c r="A364"/>
      <c r="B364"/>
      <c r="C364"/>
      <c r="D364"/>
      <c r="E364"/>
      <c r="F364"/>
      <c r="G364"/>
      <c r="H364"/>
      <c r="I364"/>
      <c r="J364"/>
      <c r="K364"/>
      <c r="L364"/>
    </row>
    <row r="365" spans="1:12">
      <c r="A365"/>
      <c r="B365"/>
      <c r="C365"/>
      <c r="D365"/>
      <c r="E365"/>
      <c r="F365"/>
      <c r="G365"/>
      <c r="H365"/>
      <c r="I365"/>
      <c r="J365"/>
      <c r="K365"/>
      <c r="L365"/>
    </row>
    <row r="366" spans="1:12">
      <c r="A366"/>
      <c r="B366"/>
      <c r="C366"/>
      <c r="D366"/>
      <c r="E366"/>
      <c r="F366"/>
      <c r="G366"/>
      <c r="H366"/>
      <c r="I366"/>
      <c r="J366"/>
      <c r="K366"/>
      <c r="L366"/>
    </row>
    <row r="367" spans="1:12">
      <c r="A367"/>
      <c r="B367"/>
      <c r="C367"/>
      <c r="D367"/>
      <c r="E367"/>
      <c r="F367"/>
      <c r="G367"/>
      <c r="H367"/>
      <c r="I367"/>
      <c r="J367"/>
      <c r="K367"/>
      <c r="L367"/>
    </row>
    <row r="368" spans="1:12">
      <c r="A368"/>
      <c r="B368"/>
      <c r="C368"/>
      <c r="D368"/>
      <c r="E368"/>
      <c r="F368"/>
      <c r="G368"/>
      <c r="H368"/>
      <c r="I368"/>
      <c r="J368"/>
      <c r="K368"/>
      <c r="L368"/>
    </row>
    <row r="369" spans="1:12">
      <c r="A369"/>
      <c r="B369"/>
      <c r="C369"/>
      <c r="D369"/>
      <c r="E369"/>
      <c r="F369"/>
      <c r="G369"/>
      <c r="H369"/>
      <c r="I369"/>
      <c r="J369"/>
      <c r="K369"/>
      <c r="L369"/>
    </row>
    <row r="370" spans="1:12">
      <c r="A370"/>
      <c r="B370"/>
      <c r="C370"/>
      <c r="D370"/>
      <c r="E370"/>
      <c r="F370"/>
      <c r="G370"/>
      <c r="H370"/>
      <c r="I370"/>
      <c r="J370"/>
      <c r="K370"/>
      <c r="L370"/>
    </row>
    <row r="371" spans="1:12">
      <c r="A371"/>
      <c r="B371"/>
      <c r="C371"/>
      <c r="D371"/>
      <c r="E371"/>
      <c r="F371"/>
      <c r="G371"/>
      <c r="H371"/>
      <c r="I371"/>
      <c r="J371"/>
      <c r="K371"/>
      <c r="L371"/>
    </row>
    <row r="372" spans="1:12">
      <c r="A372"/>
      <c r="B372"/>
      <c r="C372"/>
      <c r="D372"/>
      <c r="E372"/>
      <c r="F372"/>
      <c r="G372"/>
      <c r="H372"/>
      <c r="I372"/>
      <c r="J372"/>
      <c r="K372"/>
      <c r="L372"/>
    </row>
    <row r="373" spans="1:12">
      <c r="A373"/>
      <c r="B373"/>
      <c r="C373"/>
      <c r="D373"/>
      <c r="E373"/>
      <c r="F373"/>
      <c r="G373"/>
      <c r="H373"/>
      <c r="I373"/>
      <c r="J373"/>
      <c r="K373"/>
      <c r="L373"/>
    </row>
    <row r="374" spans="1:12">
      <c r="A374"/>
      <c r="B374"/>
      <c r="C374"/>
      <c r="D374"/>
      <c r="E374"/>
      <c r="F374"/>
      <c r="G374"/>
      <c r="H374"/>
      <c r="I374"/>
      <c r="J374"/>
      <c r="K374"/>
      <c r="L374"/>
    </row>
    <row r="375" spans="1:12">
      <c r="A375"/>
      <c r="B375"/>
      <c r="C375"/>
      <c r="D375"/>
      <c r="E375"/>
      <c r="F375"/>
      <c r="G375"/>
      <c r="H375"/>
      <c r="I375"/>
      <c r="J375"/>
      <c r="K375"/>
      <c r="L375"/>
    </row>
    <row r="376" spans="1:12">
      <c r="A376"/>
      <c r="B376"/>
      <c r="C376"/>
      <c r="D376"/>
      <c r="E376"/>
      <c r="F376"/>
      <c r="G376"/>
      <c r="H376"/>
      <c r="I376"/>
      <c r="J376"/>
      <c r="K376"/>
      <c r="L376"/>
    </row>
    <row r="377" spans="1:12">
      <c r="A377"/>
      <c r="B377"/>
      <c r="C377"/>
      <c r="D377"/>
      <c r="E377"/>
      <c r="F377"/>
      <c r="G377"/>
      <c r="H377"/>
      <c r="I377"/>
      <c r="J377"/>
      <c r="K377"/>
      <c r="L377"/>
    </row>
    <row r="378" spans="1:12">
      <c r="A378"/>
      <c r="B378"/>
      <c r="C378"/>
      <c r="D378"/>
      <c r="E378"/>
      <c r="F378"/>
      <c r="G378"/>
      <c r="H378"/>
      <c r="I378"/>
      <c r="J378"/>
      <c r="K378"/>
      <c r="L378"/>
    </row>
    <row r="379" spans="1:12">
      <c r="A379"/>
      <c r="B379"/>
      <c r="C379"/>
      <c r="D379"/>
      <c r="E379"/>
      <c r="F379"/>
      <c r="G379"/>
      <c r="H379"/>
      <c r="I379"/>
      <c r="J379"/>
      <c r="K379"/>
      <c r="L379"/>
    </row>
    <row r="380" spans="1:12">
      <c r="A380"/>
      <c r="B380"/>
      <c r="C380"/>
      <c r="D380"/>
      <c r="E380"/>
      <c r="F380"/>
      <c r="G380"/>
      <c r="H380"/>
      <c r="I380"/>
      <c r="J380"/>
      <c r="K380"/>
      <c r="L380"/>
    </row>
    <row r="381" spans="1:12">
      <c r="A381"/>
      <c r="B381"/>
      <c r="C381"/>
      <c r="D381"/>
      <c r="E381"/>
      <c r="F381"/>
      <c r="G381"/>
      <c r="H381"/>
      <c r="I381"/>
      <c r="J381"/>
      <c r="K381"/>
      <c r="L381"/>
    </row>
    <row r="382" spans="1:12">
      <c r="A382"/>
      <c r="B382"/>
      <c r="C382"/>
      <c r="D382"/>
      <c r="E382"/>
      <c r="F382"/>
      <c r="G382"/>
      <c r="H382"/>
      <c r="I382"/>
      <c r="J382"/>
      <c r="K382"/>
      <c r="L382"/>
    </row>
    <row r="383" spans="1:12">
      <c r="A383"/>
      <c r="B383"/>
      <c r="C383"/>
      <c r="D383"/>
      <c r="E383"/>
      <c r="F383"/>
      <c r="G383"/>
      <c r="H383"/>
      <c r="I383"/>
      <c r="J383"/>
      <c r="K383"/>
      <c r="L383"/>
    </row>
    <row r="384" spans="1:12">
      <c r="A384"/>
      <c r="B384"/>
      <c r="C384"/>
      <c r="D384"/>
      <c r="E384"/>
      <c r="F384"/>
      <c r="G384"/>
      <c r="H384"/>
      <c r="I384"/>
      <c r="J384"/>
      <c r="K384"/>
      <c r="L384"/>
    </row>
    <row r="385" spans="1:12">
      <c r="A385"/>
      <c r="B385"/>
      <c r="C385"/>
      <c r="D385"/>
      <c r="E385"/>
      <c r="F385"/>
      <c r="G385"/>
      <c r="H385"/>
      <c r="I385"/>
      <c r="J385"/>
      <c r="K385"/>
      <c r="L385"/>
    </row>
    <row r="386" spans="1:12">
      <c r="A386"/>
      <c r="B386"/>
      <c r="C386"/>
      <c r="D386"/>
      <c r="E386"/>
      <c r="F386"/>
      <c r="G386"/>
      <c r="H386"/>
      <c r="I386"/>
      <c r="J386"/>
      <c r="K386"/>
      <c r="L386"/>
    </row>
    <row r="387" spans="1:12">
      <c r="A387"/>
      <c r="B387"/>
      <c r="C387"/>
      <c r="D387"/>
      <c r="E387"/>
      <c r="F387"/>
      <c r="G387"/>
      <c r="H387"/>
      <c r="I387"/>
      <c r="J387"/>
      <c r="K387"/>
      <c r="L387"/>
    </row>
    <row r="388" spans="1:12">
      <c r="A388"/>
      <c r="B388"/>
      <c r="C388"/>
      <c r="D388"/>
      <c r="E388"/>
      <c r="F388"/>
      <c r="G388"/>
      <c r="H388"/>
      <c r="I388"/>
      <c r="J388"/>
      <c r="K388"/>
      <c r="L388"/>
    </row>
    <row r="389" spans="1:12">
      <c r="A389"/>
      <c r="B389"/>
      <c r="C389"/>
      <c r="D389"/>
      <c r="E389"/>
      <c r="F389"/>
      <c r="G389"/>
      <c r="H389"/>
      <c r="I389"/>
      <c r="J389"/>
      <c r="K389"/>
      <c r="L389"/>
    </row>
    <row r="390" spans="1:12">
      <c r="A390"/>
      <c r="B390"/>
      <c r="C390"/>
      <c r="D390"/>
      <c r="E390"/>
      <c r="F390"/>
      <c r="G390"/>
      <c r="H390"/>
      <c r="I390"/>
      <c r="J390"/>
      <c r="K390"/>
      <c r="L390"/>
    </row>
    <row r="391" spans="1:12">
      <c r="A391"/>
      <c r="B391"/>
      <c r="C391"/>
      <c r="D391"/>
      <c r="E391"/>
      <c r="F391"/>
      <c r="G391"/>
      <c r="H391"/>
      <c r="I391"/>
      <c r="J391"/>
      <c r="K391"/>
      <c r="L391"/>
    </row>
    <row r="392" spans="1:12">
      <c r="A392"/>
      <c r="B392"/>
      <c r="C392"/>
      <c r="D392"/>
      <c r="E392"/>
      <c r="F392"/>
      <c r="G392"/>
      <c r="H392"/>
      <c r="I392"/>
      <c r="J392"/>
      <c r="K392"/>
      <c r="L392"/>
    </row>
    <row r="393" spans="1:12">
      <c r="A393"/>
      <c r="B393"/>
      <c r="C393"/>
      <c r="D393"/>
      <c r="E393"/>
      <c r="F393"/>
      <c r="G393"/>
      <c r="H393"/>
      <c r="I393"/>
      <c r="J393"/>
      <c r="K393"/>
      <c r="L393"/>
    </row>
    <row r="394" spans="1:12">
      <c r="A394"/>
      <c r="B394"/>
      <c r="C394"/>
      <c r="D394"/>
      <c r="E394"/>
      <c r="F394"/>
      <c r="G394"/>
      <c r="H394"/>
      <c r="I394"/>
      <c r="J394"/>
      <c r="K394"/>
      <c r="L394"/>
    </row>
    <row r="395" spans="1:12">
      <c r="A395"/>
      <c r="B395"/>
      <c r="C395"/>
      <c r="D395"/>
      <c r="E395"/>
      <c r="F395"/>
      <c r="G395"/>
      <c r="H395"/>
      <c r="I395"/>
      <c r="J395"/>
      <c r="K395"/>
      <c r="L395"/>
    </row>
    <row r="396" spans="1:12">
      <c r="A396"/>
      <c r="B396"/>
      <c r="C396"/>
      <c r="D396"/>
      <c r="E396"/>
      <c r="F396"/>
      <c r="G396"/>
      <c r="H396"/>
      <c r="I396"/>
      <c r="J396"/>
      <c r="K396"/>
      <c r="L396"/>
    </row>
    <row r="397" spans="1:12">
      <c r="A397"/>
      <c r="B397"/>
      <c r="C397"/>
      <c r="D397"/>
      <c r="E397"/>
      <c r="F397"/>
      <c r="G397"/>
      <c r="H397"/>
      <c r="I397"/>
      <c r="J397"/>
      <c r="K397"/>
      <c r="L397"/>
    </row>
    <row r="398" spans="1:12">
      <c r="A398"/>
      <c r="B398"/>
      <c r="C398"/>
      <c r="D398"/>
      <c r="E398"/>
      <c r="F398"/>
      <c r="G398"/>
      <c r="H398"/>
      <c r="I398"/>
      <c r="J398"/>
      <c r="K398"/>
      <c r="L398"/>
    </row>
    <row r="399" spans="1:12">
      <c r="A399"/>
      <c r="B399"/>
      <c r="C399"/>
      <c r="D399"/>
      <c r="E399"/>
      <c r="F399"/>
      <c r="G399"/>
      <c r="H399"/>
      <c r="I399"/>
      <c r="J399"/>
      <c r="K399"/>
      <c r="L399"/>
    </row>
    <row r="400" spans="1:12">
      <c r="A400"/>
      <c r="B400"/>
      <c r="C400"/>
      <c r="D400"/>
      <c r="E400"/>
      <c r="F400"/>
      <c r="G400"/>
      <c r="H400"/>
      <c r="I400"/>
      <c r="J400"/>
      <c r="K400"/>
      <c r="L400"/>
    </row>
    <row r="401" spans="1:12">
      <c r="A401"/>
      <c r="B401"/>
      <c r="C401"/>
      <c r="D401"/>
      <c r="E401"/>
      <c r="F401"/>
      <c r="G401"/>
      <c r="H401"/>
      <c r="I401"/>
      <c r="J401"/>
      <c r="K401"/>
      <c r="L401"/>
    </row>
    <row r="402" spans="1:12">
      <c r="A402"/>
      <c r="B402"/>
      <c r="C402"/>
      <c r="D402"/>
      <c r="E402"/>
      <c r="F402"/>
      <c r="G402"/>
      <c r="H402"/>
      <c r="I402"/>
      <c r="J402"/>
      <c r="K402"/>
      <c r="L402"/>
    </row>
    <row r="403" spans="1:12">
      <c r="A403"/>
      <c r="B403"/>
      <c r="C403"/>
      <c r="D403"/>
      <c r="E403"/>
      <c r="F403"/>
      <c r="G403"/>
      <c r="H403"/>
      <c r="I403"/>
      <c r="J403"/>
      <c r="K403"/>
      <c r="L403"/>
    </row>
    <row r="404" spans="1:12">
      <c r="A404"/>
      <c r="B404"/>
      <c r="C404"/>
      <c r="D404"/>
      <c r="E404"/>
      <c r="F404"/>
      <c r="G404"/>
      <c r="H404"/>
      <c r="I404"/>
      <c r="J404"/>
      <c r="K404"/>
      <c r="L404"/>
    </row>
    <row r="405" spans="1:12">
      <c r="A405"/>
      <c r="B405"/>
      <c r="C405"/>
      <c r="D405"/>
      <c r="E405"/>
      <c r="F405"/>
      <c r="G405"/>
      <c r="H405"/>
      <c r="I405"/>
      <c r="J405"/>
      <c r="K405"/>
      <c r="L405"/>
    </row>
    <row r="406" spans="1:12">
      <c r="A406"/>
      <c r="B406"/>
      <c r="C406"/>
      <c r="D406"/>
      <c r="E406"/>
      <c r="F406"/>
      <c r="G406"/>
      <c r="H406"/>
      <c r="I406"/>
      <c r="J406"/>
      <c r="K406"/>
      <c r="L406"/>
    </row>
    <row r="407" spans="1:12">
      <c r="A407"/>
      <c r="B407"/>
      <c r="C407"/>
      <c r="D407"/>
      <c r="E407"/>
      <c r="F407"/>
      <c r="G407"/>
      <c r="H407"/>
      <c r="I407"/>
      <c r="J407"/>
      <c r="K407"/>
      <c r="L407"/>
    </row>
    <row r="408" spans="1:12">
      <c r="A408"/>
      <c r="B408"/>
      <c r="C408"/>
      <c r="D408"/>
      <c r="E408"/>
      <c r="F408"/>
      <c r="G408"/>
      <c r="H408"/>
      <c r="I408"/>
      <c r="J408"/>
      <c r="K408"/>
      <c r="L408"/>
    </row>
    <row r="409" spans="1:12">
      <c r="A409"/>
      <c r="B409"/>
      <c r="C409"/>
      <c r="D409"/>
      <c r="E409"/>
      <c r="F409"/>
      <c r="G409"/>
      <c r="H409"/>
      <c r="I409"/>
      <c r="J409"/>
      <c r="K409"/>
      <c r="L409"/>
    </row>
    <row r="410" spans="1:12">
      <c r="A410"/>
      <c r="B410"/>
      <c r="C410"/>
      <c r="D410"/>
      <c r="E410"/>
      <c r="F410"/>
      <c r="G410"/>
      <c r="H410"/>
      <c r="I410"/>
      <c r="J410"/>
      <c r="K410"/>
      <c r="L410"/>
    </row>
    <row r="411" spans="1:12">
      <c r="A411"/>
      <c r="B411"/>
      <c r="C411"/>
      <c r="D411"/>
      <c r="E411"/>
      <c r="F411"/>
      <c r="G411"/>
      <c r="H411"/>
      <c r="I411"/>
      <c r="J411"/>
      <c r="K411"/>
      <c r="L411"/>
    </row>
    <row r="412" spans="1:12">
      <c r="A412"/>
      <c r="B412"/>
      <c r="C412"/>
      <c r="D412"/>
      <c r="E412"/>
      <c r="F412"/>
      <c r="G412"/>
      <c r="H412"/>
      <c r="I412"/>
      <c r="J412"/>
      <c r="K412"/>
      <c r="L412"/>
    </row>
    <row r="413" spans="1:12">
      <c r="A413"/>
      <c r="B413"/>
      <c r="C413"/>
      <c r="D413"/>
      <c r="E413"/>
      <c r="F413"/>
      <c r="G413"/>
      <c r="H413"/>
      <c r="I413"/>
      <c r="J413"/>
      <c r="K413"/>
      <c r="L413"/>
    </row>
    <row r="414" spans="1:12">
      <c r="A414"/>
      <c r="B414"/>
      <c r="C414"/>
      <c r="D414"/>
      <c r="E414"/>
      <c r="F414"/>
      <c r="G414"/>
      <c r="H414"/>
      <c r="I414"/>
      <c r="J414"/>
      <c r="K414"/>
      <c r="L414"/>
    </row>
    <row r="415" spans="1:12">
      <c r="A415"/>
      <c r="B415"/>
      <c r="C415"/>
      <c r="D415"/>
      <c r="E415"/>
      <c r="F415"/>
      <c r="G415"/>
      <c r="H415"/>
      <c r="I415"/>
      <c r="J415"/>
      <c r="K415"/>
      <c r="L415"/>
    </row>
    <row r="416" spans="1:12">
      <c r="A416"/>
      <c r="B416"/>
      <c r="C416"/>
      <c r="D416"/>
      <c r="E416"/>
      <c r="F416"/>
      <c r="G416"/>
      <c r="H416"/>
      <c r="I416"/>
      <c r="J416"/>
      <c r="K416"/>
      <c r="L416"/>
    </row>
    <row r="417" spans="1:12">
      <c r="A417"/>
      <c r="B417"/>
      <c r="C417"/>
      <c r="D417"/>
      <c r="E417"/>
      <c r="F417"/>
      <c r="G417"/>
      <c r="H417"/>
      <c r="I417"/>
      <c r="J417"/>
      <c r="K417"/>
      <c r="L417"/>
    </row>
    <row r="418" spans="1:12">
      <c r="A418"/>
      <c r="B418"/>
      <c r="C418"/>
      <c r="D418"/>
      <c r="E418"/>
      <c r="F418"/>
      <c r="G418"/>
      <c r="H418"/>
      <c r="I418"/>
      <c r="J418"/>
      <c r="K418"/>
      <c r="L418"/>
    </row>
    <row r="419" spans="1:12">
      <c r="A419"/>
      <c r="B419"/>
      <c r="C419"/>
      <c r="D419"/>
      <c r="E419"/>
      <c r="F419"/>
      <c r="G419"/>
      <c r="H419"/>
      <c r="I419"/>
      <c r="J419"/>
      <c r="K419"/>
      <c r="L419"/>
    </row>
    <row r="420" spans="1:12">
      <c r="A420"/>
      <c r="B420"/>
      <c r="C420"/>
      <c r="D420"/>
      <c r="E420"/>
      <c r="F420"/>
      <c r="G420"/>
      <c r="H420"/>
      <c r="I420"/>
      <c r="J420"/>
      <c r="K420"/>
      <c r="L420"/>
    </row>
    <row r="421" spans="1:12">
      <c r="A421"/>
      <c r="B421"/>
      <c r="C421"/>
      <c r="D421"/>
      <c r="E421"/>
      <c r="F421"/>
      <c r="G421"/>
      <c r="H421"/>
      <c r="I421"/>
      <c r="J421"/>
      <c r="K421"/>
      <c r="L421"/>
    </row>
    <row r="422" spans="1:12">
      <c r="A422"/>
      <c r="B422"/>
      <c r="C422"/>
      <c r="D422"/>
      <c r="E422"/>
      <c r="F422"/>
      <c r="G422"/>
      <c r="H422"/>
      <c r="I422"/>
      <c r="J422"/>
      <c r="K422"/>
      <c r="L422"/>
    </row>
    <row r="423" spans="1:12">
      <c r="A423"/>
      <c r="B423"/>
      <c r="C423"/>
      <c r="D423"/>
      <c r="E423"/>
      <c r="F423"/>
      <c r="G423"/>
      <c r="H423"/>
      <c r="I423"/>
      <c r="J423"/>
      <c r="K423"/>
      <c r="L423"/>
    </row>
    <row r="424" spans="1:12">
      <c r="A424"/>
      <c r="B424"/>
      <c r="C424"/>
      <c r="D424"/>
      <c r="E424"/>
      <c r="F424"/>
      <c r="G424"/>
      <c r="H424"/>
      <c r="I424"/>
      <c r="J424"/>
      <c r="K424"/>
      <c r="L424"/>
    </row>
    <row r="425" spans="1:12">
      <c r="A425"/>
      <c r="B425"/>
      <c r="C425"/>
      <c r="D425"/>
      <c r="E425"/>
      <c r="F425"/>
      <c r="G425"/>
      <c r="H425"/>
      <c r="I425"/>
      <c r="J425"/>
      <c r="K425"/>
      <c r="L425"/>
    </row>
    <row r="426" spans="1:12">
      <c r="A426"/>
      <c r="B426"/>
      <c r="C426"/>
      <c r="D426"/>
      <c r="E426"/>
      <c r="F426"/>
      <c r="G426"/>
      <c r="H426"/>
      <c r="I426"/>
      <c r="J426"/>
      <c r="K426"/>
      <c r="L426"/>
    </row>
    <row r="427" spans="1:12">
      <c r="A427"/>
      <c r="B427"/>
      <c r="C427"/>
      <c r="D427"/>
      <c r="E427"/>
      <c r="F427"/>
      <c r="G427"/>
      <c r="H427"/>
      <c r="I427"/>
      <c r="J427"/>
      <c r="K427"/>
      <c r="L427"/>
    </row>
    <row r="428" spans="1:12">
      <c r="A428"/>
      <c r="B428"/>
      <c r="C428"/>
      <c r="D428"/>
      <c r="E428"/>
      <c r="F428"/>
      <c r="G428"/>
      <c r="H428"/>
      <c r="I428"/>
      <c r="J428"/>
      <c r="K428"/>
      <c r="L428"/>
    </row>
    <row r="429" spans="1:12">
      <c r="A429"/>
      <c r="B429"/>
      <c r="C429"/>
      <c r="D429"/>
      <c r="E429"/>
      <c r="F429"/>
      <c r="G429"/>
      <c r="H429"/>
      <c r="I429"/>
      <c r="J429"/>
      <c r="K429"/>
      <c r="L429"/>
    </row>
    <row r="430" spans="1:12">
      <c r="A430"/>
      <c r="B430"/>
      <c r="C430"/>
      <c r="D430"/>
      <c r="E430"/>
      <c r="F430"/>
      <c r="G430"/>
      <c r="H430"/>
      <c r="I430"/>
      <c r="J430"/>
      <c r="K430"/>
      <c r="L430"/>
    </row>
    <row r="431" spans="1:12">
      <c r="A431"/>
      <c r="B431"/>
      <c r="C431"/>
      <c r="D431"/>
      <c r="E431"/>
      <c r="F431"/>
      <c r="G431"/>
      <c r="H431"/>
      <c r="I431"/>
      <c r="J431"/>
      <c r="K431"/>
      <c r="L431"/>
    </row>
    <row r="432" spans="1:12">
      <c r="A432"/>
      <c r="B432"/>
      <c r="C432"/>
      <c r="D432"/>
      <c r="E432"/>
      <c r="F432"/>
      <c r="G432"/>
      <c r="H432"/>
      <c r="I432"/>
      <c r="J432"/>
      <c r="K432"/>
      <c r="L432"/>
    </row>
    <row r="433" spans="1:12">
      <c r="A433"/>
      <c r="B433"/>
      <c r="C433"/>
      <c r="D433"/>
      <c r="E433"/>
      <c r="F433"/>
      <c r="G433"/>
      <c r="H433"/>
      <c r="I433"/>
      <c r="J433"/>
      <c r="K433"/>
      <c r="L433"/>
    </row>
    <row r="434" spans="1:12">
      <c r="A434"/>
      <c r="B434"/>
      <c r="C434"/>
      <c r="D434"/>
      <c r="E434"/>
      <c r="F434"/>
      <c r="G434"/>
      <c r="H434"/>
      <c r="I434"/>
      <c r="J434"/>
      <c r="K434"/>
      <c r="L434"/>
    </row>
    <row r="435" spans="1:12">
      <c r="A435"/>
      <c r="B435"/>
      <c r="C435"/>
      <c r="D435"/>
      <c r="E435"/>
      <c r="F435"/>
      <c r="G435"/>
      <c r="H435"/>
      <c r="I435"/>
      <c r="J435"/>
      <c r="K435"/>
      <c r="L435"/>
    </row>
    <row r="436" spans="1:12">
      <c r="A436"/>
      <c r="B436"/>
      <c r="C436"/>
      <c r="D436"/>
      <c r="E436"/>
      <c r="F436"/>
      <c r="G436"/>
      <c r="H436"/>
      <c r="I436"/>
      <c r="J436"/>
      <c r="K436"/>
      <c r="L436"/>
    </row>
    <row r="437" spans="1:12">
      <c r="A437"/>
      <c r="B437"/>
      <c r="C437"/>
      <c r="D437"/>
      <c r="E437"/>
      <c r="F437"/>
      <c r="G437"/>
      <c r="H437"/>
      <c r="I437"/>
      <c r="J437"/>
      <c r="K437"/>
      <c r="L437"/>
    </row>
    <row r="438" spans="1:12">
      <c r="A438"/>
      <c r="B438"/>
      <c r="C438"/>
      <c r="D438"/>
      <c r="E438"/>
      <c r="F438"/>
      <c r="G438"/>
      <c r="H438"/>
      <c r="I438"/>
      <c r="J438"/>
      <c r="K438"/>
      <c r="L438"/>
    </row>
    <row r="439" spans="1:12">
      <c r="A439"/>
      <c r="B439"/>
      <c r="C439"/>
      <c r="D439"/>
      <c r="E439"/>
      <c r="F439"/>
      <c r="G439"/>
      <c r="H439"/>
      <c r="I439"/>
      <c r="J439"/>
      <c r="K439"/>
      <c r="L439"/>
    </row>
    <row r="440" spans="1:12">
      <c r="A440"/>
      <c r="B440"/>
      <c r="C440"/>
      <c r="D440"/>
      <c r="E440"/>
      <c r="F440"/>
      <c r="G440"/>
      <c r="H440"/>
      <c r="I440"/>
      <c r="J440"/>
      <c r="K440"/>
      <c r="L440"/>
    </row>
    <row r="441" spans="1:12">
      <c r="A441"/>
      <c r="B441"/>
      <c r="C441"/>
      <c r="D441"/>
      <c r="E441"/>
      <c r="F441"/>
      <c r="G441"/>
      <c r="H441"/>
      <c r="I441"/>
      <c r="J441"/>
      <c r="K441"/>
      <c r="L441"/>
    </row>
    <row r="442" spans="1:12">
      <c r="A442"/>
      <c r="B442"/>
      <c r="C442"/>
      <c r="D442"/>
      <c r="E442"/>
      <c r="F442"/>
      <c r="G442"/>
      <c r="H442"/>
      <c r="I442"/>
      <c r="J442"/>
      <c r="K442"/>
      <c r="L442"/>
    </row>
    <row r="443" spans="1:12">
      <c r="A443"/>
      <c r="B443"/>
      <c r="C443"/>
      <c r="D443"/>
      <c r="E443"/>
      <c r="F443"/>
      <c r="G443"/>
      <c r="H443"/>
      <c r="I443"/>
      <c r="J443"/>
      <c r="K443"/>
      <c r="L443"/>
    </row>
    <row r="444" spans="1:12">
      <c r="A444"/>
      <c r="B444"/>
      <c r="C444"/>
      <c r="D444"/>
      <c r="E444"/>
      <c r="F444"/>
      <c r="G444"/>
      <c r="H444"/>
      <c r="I444"/>
      <c r="J444"/>
      <c r="K444"/>
      <c r="L444"/>
    </row>
    <row r="445" spans="1:12">
      <c r="A445"/>
      <c r="B445"/>
      <c r="C445"/>
      <c r="D445"/>
      <c r="E445"/>
      <c r="F445"/>
      <c r="G445"/>
      <c r="H445"/>
      <c r="I445"/>
      <c r="J445"/>
      <c r="K445"/>
      <c r="L445"/>
    </row>
    <row r="446" spans="1:12">
      <c r="A446"/>
      <c r="B446"/>
      <c r="C446"/>
      <c r="D446"/>
      <c r="E446"/>
      <c r="F446"/>
      <c r="G446"/>
      <c r="H446"/>
      <c r="I446"/>
      <c r="J446"/>
      <c r="K446"/>
      <c r="L446"/>
    </row>
    <row r="447" spans="1:12">
      <c r="A447"/>
      <c r="B447"/>
      <c r="C447"/>
      <c r="D447"/>
      <c r="E447"/>
      <c r="F447"/>
      <c r="G447"/>
      <c r="H447"/>
      <c r="I447"/>
      <c r="J447"/>
      <c r="K447"/>
      <c r="L447"/>
    </row>
    <row r="448" spans="1:12">
      <c r="A448"/>
      <c r="B448"/>
      <c r="C448"/>
      <c r="D448"/>
      <c r="E448"/>
      <c r="F448"/>
      <c r="G448"/>
      <c r="H448"/>
      <c r="I448"/>
      <c r="J448"/>
      <c r="K448"/>
      <c r="L448"/>
    </row>
    <row r="449" spans="1:12">
      <c r="A449"/>
      <c r="B449"/>
      <c r="C449"/>
      <c r="D449"/>
      <c r="E449"/>
      <c r="F449"/>
      <c r="G449"/>
      <c r="H449"/>
      <c r="I449"/>
      <c r="J449"/>
      <c r="K449"/>
      <c r="L449"/>
    </row>
    <row r="450" spans="1:12">
      <c r="A450"/>
      <c r="B450"/>
      <c r="C450"/>
      <c r="D450"/>
      <c r="E450"/>
      <c r="F450"/>
      <c r="G450"/>
      <c r="H450"/>
      <c r="I450"/>
      <c r="J450"/>
      <c r="K450"/>
      <c r="L450"/>
    </row>
    <row r="451" spans="1:12">
      <c r="A451"/>
      <c r="B451"/>
      <c r="C451"/>
      <c r="D451"/>
      <c r="E451"/>
      <c r="F451"/>
      <c r="G451"/>
      <c r="H451"/>
      <c r="I451"/>
      <c r="J451"/>
      <c r="K451"/>
      <c r="L451"/>
    </row>
    <row r="452" spans="1:12">
      <c r="A452"/>
      <c r="B452"/>
      <c r="C452"/>
      <c r="D452"/>
      <c r="E452"/>
      <c r="F452"/>
      <c r="G452"/>
      <c r="H452"/>
      <c r="I452"/>
      <c r="J452"/>
      <c r="K452"/>
      <c r="L452"/>
    </row>
    <row r="453" spans="1:12">
      <c r="A453"/>
      <c r="B453"/>
      <c r="C453"/>
      <c r="D453"/>
      <c r="E453"/>
      <c r="F453"/>
      <c r="G453"/>
      <c r="H453"/>
      <c r="I453"/>
      <c r="J453"/>
      <c r="K453"/>
      <c r="L453"/>
    </row>
    <row r="454" spans="1:12">
      <c r="A454"/>
      <c r="B454"/>
      <c r="C454"/>
      <c r="D454"/>
      <c r="E454"/>
      <c r="F454"/>
      <c r="G454"/>
      <c r="H454"/>
      <c r="I454"/>
      <c r="J454"/>
      <c r="K454"/>
      <c r="L454"/>
    </row>
    <row r="455" spans="1:12">
      <c r="A455"/>
      <c r="B455"/>
      <c r="C455"/>
      <c r="D455"/>
      <c r="E455"/>
      <c r="F455"/>
      <c r="G455"/>
      <c r="H455"/>
      <c r="I455"/>
      <c r="J455"/>
      <c r="K455"/>
      <c r="L455"/>
    </row>
    <row r="456" spans="1:12">
      <c r="A456"/>
      <c r="B456"/>
      <c r="C456"/>
      <c r="D456"/>
      <c r="E456"/>
      <c r="F456"/>
      <c r="G456"/>
      <c r="H456"/>
      <c r="I456"/>
      <c r="J456"/>
      <c r="K456"/>
      <c r="L456"/>
    </row>
    <row r="457" spans="1:12">
      <c r="A457"/>
      <c r="B457"/>
      <c r="C457"/>
      <c r="D457"/>
      <c r="E457"/>
      <c r="F457"/>
      <c r="G457"/>
      <c r="H457"/>
      <c r="I457"/>
      <c r="J457"/>
      <c r="K457"/>
      <c r="L457"/>
    </row>
    <row r="458" spans="1:12">
      <c r="A458"/>
      <c r="B458"/>
      <c r="C458"/>
      <c r="D458"/>
      <c r="E458"/>
      <c r="F458"/>
      <c r="G458"/>
      <c r="H458"/>
      <c r="I458"/>
      <c r="J458"/>
      <c r="K458"/>
      <c r="L458"/>
    </row>
    <row r="459" spans="1:12">
      <c r="A459"/>
      <c r="B459"/>
      <c r="C459"/>
      <c r="D459"/>
      <c r="E459"/>
      <c r="F459"/>
      <c r="G459"/>
      <c r="H459"/>
      <c r="I459"/>
      <c r="J459"/>
      <c r="K459"/>
      <c r="L459"/>
    </row>
    <row r="460" spans="1:12">
      <c r="A460"/>
      <c r="B460"/>
      <c r="C460"/>
      <c r="D460"/>
      <c r="E460"/>
      <c r="F460"/>
      <c r="G460"/>
      <c r="H460"/>
      <c r="I460"/>
      <c r="J460"/>
      <c r="K460"/>
      <c r="L460"/>
    </row>
    <row r="461" spans="1:12">
      <c r="A461"/>
      <c r="B461"/>
      <c r="C461"/>
      <c r="D461"/>
      <c r="E461"/>
      <c r="F461"/>
      <c r="G461"/>
      <c r="H461"/>
      <c r="I461"/>
      <c r="J461"/>
      <c r="K461"/>
      <c r="L461"/>
    </row>
    <row r="462" spans="1:12">
      <c r="A462"/>
      <c r="B462"/>
      <c r="C462"/>
      <c r="D462"/>
      <c r="E462"/>
      <c r="F462"/>
      <c r="G462"/>
      <c r="H462"/>
      <c r="I462"/>
      <c r="J462"/>
      <c r="K462"/>
      <c r="L462"/>
    </row>
    <row r="463" spans="1:12">
      <c r="A463"/>
      <c r="B463"/>
      <c r="C463"/>
      <c r="D463"/>
      <c r="E463"/>
      <c r="F463"/>
      <c r="G463"/>
      <c r="H463"/>
      <c r="I463"/>
      <c r="J463"/>
      <c r="K463"/>
      <c r="L463"/>
    </row>
    <row r="464" spans="1:12">
      <c r="A464"/>
      <c r="B464"/>
      <c r="C464"/>
      <c r="D464"/>
      <c r="E464"/>
      <c r="F464"/>
      <c r="G464"/>
      <c r="H464"/>
      <c r="I464"/>
      <c r="J464"/>
      <c r="K464"/>
      <c r="L464"/>
    </row>
    <row r="465" spans="1:12">
      <c r="A465"/>
      <c r="B465"/>
      <c r="C465"/>
      <c r="D465"/>
      <c r="E465"/>
      <c r="F465"/>
      <c r="G465"/>
      <c r="H465"/>
      <c r="I465"/>
      <c r="J465"/>
      <c r="K465"/>
      <c r="L465"/>
    </row>
    <row r="466" spans="1:12">
      <c r="A466"/>
      <c r="B466"/>
      <c r="C466"/>
      <c r="D466"/>
      <c r="E466"/>
      <c r="F466"/>
      <c r="G466"/>
      <c r="H466"/>
      <c r="I466"/>
      <c r="J466"/>
      <c r="K466"/>
      <c r="L466"/>
    </row>
    <row r="467" spans="1:12">
      <c r="A467"/>
      <c r="B467"/>
      <c r="C467"/>
      <c r="D467"/>
      <c r="E467"/>
      <c r="F467"/>
      <c r="G467"/>
      <c r="H467"/>
      <c r="I467"/>
      <c r="J467"/>
      <c r="K467"/>
      <c r="L467"/>
    </row>
    <row r="468" spans="1:12">
      <c r="A468"/>
      <c r="B468"/>
      <c r="C468"/>
      <c r="D468"/>
      <c r="E468"/>
      <c r="F468"/>
      <c r="G468"/>
      <c r="H468"/>
      <c r="I468"/>
      <c r="J468"/>
      <c r="K468"/>
      <c r="L468"/>
    </row>
    <row r="469" spans="1:12">
      <c r="A469"/>
      <c r="B469"/>
      <c r="C469"/>
      <c r="D469"/>
      <c r="E469"/>
      <c r="F469"/>
      <c r="G469"/>
      <c r="H469"/>
      <c r="I469"/>
      <c r="J469"/>
      <c r="K469"/>
      <c r="L469"/>
    </row>
    <row r="470" spans="1:12">
      <c r="A470"/>
      <c r="B470"/>
      <c r="C470"/>
      <c r="D470"/>
      <c r="E470"/>
      <c r="F470"/>
      <c r="G470"/>
      <c r="H470"/>
      <c r="I470"/>
      <c r="J470"/>
      <c r="K470"/>
      <c r="L470"/>
    </row>
    <row r="471" spans="1:12">
      <c r="A471"/>
      <c r="B471"/>
      <c r="C471"/>
      <c r="D471"/>
      <c r="E471"/>
      <c r="F471"/>
      <c r="G471"/>
      <c r="H471"/>
      <c r="I471"/>
      <c r="J471"/>
      <c r="K471"/>
      <c r="L471"/>
    </row>
    <row r="472" spans="1:12">
      <c r="A472"/>
      <c r="B472"/>
      <c r="C472"/>
      <c r="D472"/>
      <c r="E472"/>
      <c r="F472"/>
      <c r="G472"/>
      <c r="H472"/>
      <c r="I472"/>
      <c r="J472"/>
      <c r="K472"/>
      <c r="L472"/>
    </row>
    <row r="473" spans="1:12">
      <c r="A473"/>
      <c r="B473"/>
      <c r="C473"/>
      <c r="D473"/>
      <c r="E473"/>
      <c r="F473"/>
      <c r="G473"/>
      <c r="H473"/>
      <c r="I473"/>
      <c r="J473"/>
      <c r="K473"/>
      <c r="L473"/>
    </row>
    <row r="474" spans="1:12">
      <c r="A474"/>
      <c r="B474"/>
      <c r="C474"/>
      <c r="D474"/>
      <c r="E474"/>
      <c r="F474"/>
      <c r="G474"/>
      <c r="H474"/>
      <c r="I474"/>
      <c r="J474"/>
      <c r="K474"/>
      <c r="L474"/>
    </row>
    <row r="475" spans="1:12">
      <c r="A475"/>
      <c r="B475"/>
      <c r="C475"/>
      <c r="D475"/>
      <c r="E475"/>
      <c r="F475"/>
      <c r="G475"/>
      <c r="H475"/>
      <c r="I475"/>
      <c r="J475"/>
      <c r="K475"/>
      <c r="L475"/>
    </row>
    <row r="476" spans="1:12">
      <c r="A476"/>
      <c r="B476"/>
      <c r="C476"/>
      <c r="D476"/>
      <c r="E476"/>
      <c r="F476"/>
      <c r="G476"/>
      <c r="H476"/>
      <c r="I476"/>
      <c r="J476"/>
      <c r="K476"/>
      <c r="L476"/>
    </row>
    <row r="477" spans="1:12">
      <c r="A477"/>
      <c r="B477"/>
      <c r="C477"/>
      <c r="D477"/>
      <c r="E477"/>
      <c r="F477"/>
      <c r="G477"/>
      <c r="H477"/>
      <c r="I477"/>
      <c r="J477"/>
      <c r="K477"/>
      <c r="L477"/>
    </row>
    <row r="478" spans="1:12">
      <c r="A478"/>
      <c r="B478"/>
      <c r="C478"/>
      <c r="D478"/>
      <c r="E478"/>
      <c r="F478"/>
      <c r="G478"/>
      <c r="H478"/>
      <c r="I478"/>
      <c r="J478"/>
      <c r="K478"/>
      <c r="L478"/>
    </row>
    <row r="479" spans="1:12">
      <c r="A479"/>
      <c r="B479"/>
      <c r="C479"/>
      <c r="D479"/>
      <c r="E479"/>
      <c r="F479"/>
      <c r="G479"/>
      <c r="H479"/>
      <c r="I479"/>
      <c r="J479"/>
      <c r="K479"/>
      <c r="L479"/>
    </row>
    <row r="480" spans="1:12">
      <c r="A480"/>
      <c r="B480"/>
      <c r="C480"/>
      <c r="D480"/>
      <c r="E480"/>
      <c r="F480"/>
      <c r="G480"/>
      <c r="H480"/>
      <c r="I480"/>
      <c r="J480"/>
      <c r="K480"/>
      <c r="L480"/>
    </row>
    <row r="481" spans="1:12">
      <c r="A481"/>
      <c r="B481"/>
      <c r="C481"/>
      <c r="D481"/>
      <c r="E481"/>
      <c r="F481"/>
      <c r="G481"/>
      <c r="H481"/>
      <c r="I481"/>
      <c r="J481"/>
      <c r="K481"/>
      <c r="L481"/>
    </row>
    <row r="482" spans="1:12">
      <c r="A482"/>
      <c r="B482"/>
      <c r="C482"/>
      <c r="D482"/>
      <c r="E482"/>
      <c r="F482"/>
      <c r="G482"/>
      <c r="H482"/>
      <c r="I482"/>
      <c r="J482"/>
      <c r="K482"/>
      <c r="L482"/>
    </row>
    <row r="483" spans="1:12">
      <c r="A483"/>
      <c r="B483"/>
      <c r="C483"/>
      <c r="D483"/>
      <c r="E483"/>
      <c r="F483"/>
      <c r="G483"/>
      <c r="H483"/>
      <c r="I483"/>
      <c r="J483"/>
      <c r="K483"/>
      <c r="L483"/>
    </row>
    <row r="484" spans="1:12">
      <c r="A484"/>
      <c r="B484"/>
      <c r="C484"/>
      <c r="D484"/>
      <c r="E484"/>
      <c r="F484"/>
      <c r="G484"/>
      <c r="H484"/>
      <c r="I484"/>
      <c r="J484"/>
      <c r="K484"/>
      <c r="L484"/>
    </row>
    <row r="485" spans="1:12">
      <c r="A485"/>
      <c r="B485"/>
      <c r="C485"/>
      <c r="D485"/>
      <c r="E485"/>
      <c r="F485"/>
      <c r="G485"/>
      <c r="H485"/>
      <c r="I485"/>
      <c r="J485"/>
      <c r="K485"/>
      <c r="L485"/>
    </row>
    <row r="486" spans="1:12">
      <c r="A486"/>
      <c r="B486"/>
      <c r="C486"/>
      <c r="D486"/>
      <c r="E486"/>
      <c r="F486"/>
      <c r="G486"/>
      <c r="H486"/>
      <c r="I486"/>
      <c r="J486"/>
      <c r="K486"/>
      <c r="L486"/>
    </row>
    <row r="487" spans="1:12">
      <c r="A487"/>
      <c r="B487"/>
      <c r="C487"/>
      <c r="D487"/>
      <c r="E487"/>
      <c r="F487"/>
      <c r="G487"/>
      <c r="H487"/>
      <c r="I487"/>
      <c r="J487"/>
      <c r="K487"/>
      <c r="L487"/>
    </row>
    <row r="488" spans="1:12">
      <c r="A488"/>
      <c r="B488"/>
      <c r="C488"/>
      <c r="D488"/>
      <c r="E488"/>
      <c r="F488"/>
      <c r="G488"/>
      <c r="H488"/>
      <c r="I488"/>
      <c r="J488"/>
      <c r="K488"/>
      <c r="L488"/>
    </row>
    <row r="489" spans="1:12">
      <c r="A489"/>
      <c r="B489"/>
      <c r="C489"/>
      <c r="D489"/>
      <c r="E489"/>
      <c r="F489"/>
      <c r="G489"/>
      <c r="H489"/>
      <c r="I489"/>
      <c r="J489"/>
      <c r="K489"/>
      <c r="L489"/>
    </row>
    <row r="490" spans="1:12">
      <c r="A490"/>
      <c r="B490"/>
      <c r="C490"/>
      <c r="D490"/>
      <c r="E490"/>
      <c r="F490"/>
      <c r="G490"/>
      <c r="H490"/>
      <c r="I490"/>
      <c r="J490"/>
      <c r="K490"/>
      <c r="L490"/>
    </row>
    <row r="491" spans="1:12">
      <c r="A491"/>
      <c r="B491"/>
      <c r="C491"/>
      <c r="D491"/>
      <c r="E491"/>
      <c r="F491"/>
      <c r="G491"/>
      <c r="H491"/>
      <c r="I491"/>
      <c r="J491"/>
      <c r="K491"/>
      <c r="L491"/>
    </row>
    <row r="492" spans="1:12">
      <c r="A492"/>
      <c r="B492"/>
      <c r="C492"/>
      <c r="D492"/>
      <c r="E492"/>
      <c r="F492"/>
      <c r="G492"/>
      <c r="H492"/>
      <c r="I492"/>
      <c r="J492"/>
      <c r="K492"/>
      <c r="L492"/>
    </row>
    <row r="493" spans="1:12">
      <c r="A493"/>
      <c r="B493"/>
      <c r="C493"/>
      <c r="D493"/>
      <c r="E493"/>
      <c r="F493"/>
      <c r="G493"/>
      <c r="H493"/>
      <c r="I493"/>
      <c r="J493"/>
      <c r="K493"/>
      <c r="L493"/>
    </row>
    <row r="494" spans="1:12">
      <c r="A494"/>
      <c r="B494"/>
      <c r="C494"/>
      <c r="D494"/>
      <c r="E494"/>
      <c r="F494"/>
      <c r="G494"/>
      <c r="H494"/>
      <c r="I494"/>
      <c r="J494"/>
      <c r="K494"/>
      <c r="L494"/>
    </row>
    <row r="495" spans="1:12">
      <c r="A495"/>
      <c r="B495"/>
      <c r="C495"/>
      <c r="D495"/>
      <c r="E495"/>
      <c r="F495"/>
      <c r="G495"/>
      <c r="H495"/>
      <c r="I495"/>
      <c r="J495"/>
      <c r="K495"/>
      <c r="L495"/>
    </row>
    <row r="496" spans="1:12">
      <c r="A496"/>
      <c r="B496"/>
      <c r="C496"/>
      <c r="D496"/>
      <c r="E496"/>
      <c r="F496"/>
      <c r="G496"/>
      <c r="H496"/>
      <c r="I496"/>
      <c r="J496"/>
      <c r="K496"/>
      <c r="L496"/>
    </row>
    <row r="497" spans="1:12">
      <c r="A497"/>
      <c r="B497"/>
      <c r="C497"/>
      <c r="D497"/>
      <c r="E497"/>
      <c r="F497"/>
      <c r="G497"/>
      <c r="H497"/>
      <c r="I497"/>
      <c r="J497"/>
      <c r="K497"/>
      <c r="L497"/>
    </row>
    <row r="498" spans="1:12">
      <c r="A498"/>
      <c r="B498"/>
      <c r="C498"/>
      <c r="D498"/>
      <c r="E498"/>
      <c r="F498"/>
      <c r="G498"/>
      <c r="H498"/>
      <c r="I498"/>
      <c r="J498"/>
      <c r="K498"/>
      <c r="L498"/>
    </row>
    <row r="499" spans="1:12">
      <c r="A499"/>
      <c r="B499"/>
      <c r="C499"/>
      <c r="D499"/>
      <c r="E499"/>
      <c r="F499"/>
      <c r="G499"/>
      <c r="H499"/>
      <c r="I499"/>
      <c r="J499"/>
      <c r="K499"/>
      <c r="L499"/>
    </row>
    <row r="500" spans="1:12">
      <c r="A500"/>
      <c r="B500"/>
      <c r="C500"/>
      <c r="D500"/>
      <c r="E500"/>
      <c r="F500"/>
      <c r="G500"/>
      <c r="H500"/>
      <c r="I500"/>
      <c r="J500"/>
      <c r="K500"/>
      <c r="L500"/>
    </row>
    <row r="501" spans="1:12">
      <c r="A501"/>
      <c r="B501"/>
      <c r="C501"/>
      <c r="D501"/>
      <c r="E501"/>
      <c r="F501"/>
      <c r="G501"/>
      <c r="H501"/>
      <c r="I501"/>
      <c r="J501"/>
      <c r="K501"/>
      <c r="L501"/>
    </row>
    <row r="502" spans="1:12">
      <c r="A502"/>
      <c r="B502"/>
      <c r="C502"/>
      <c r="D502"/>
      <c r="E502"/>
      <c r="F502"/>
      <c r="G502"/>
      <c r="H502"/>
      <c r="I502"/>
      <c r="J502"/>
      <c r="K502"/>
      <c r="L502"/>
    </row>
    <row r="503" spans="1:12">
      <c r="A503"/>
      <c r="B503"/>
      <c r="C503"/>
      <c r="D503"/>
      <c r="E503"/>
      <c r="F503"/>
      <c r="G503"/>
      <c r="H503"/>
      <c r="I503"/>
      <c r="J503"/>
      <c r="K503"/>
      <c r="L503"/>
    </row>
    <row r="504" spans="1:12">
      <c r="A504"/>
      <c r="B504"/>
      <c r="C504"/>
      <c r="D504"/>
      <c r="E504"/>
      <c r="F504"/>
      <c r="G504"/>
      <c r="H504"/>
      <c r="I504"/>
      <c r="J504"/>
      <c r="K504"/>
      <c r="L504"/>
    </row>
    <row r="505" spans="1:12">
      <c r="A505"/>
      <c r="B505"/>
      <c r="C505"/>
      <c r="D505"/>
      <c r="E505"/>
      <c r="F505"/>
      <c r="G505"/>
      <c r="H505"/>
      <c r="I505"/>
      <c r="J505"/>
      <c r="K505"/>
      <c r="L505"/>
    </row>
    <row r="506" spans="1:12">
      <c r="A506"/>
      <c r="B506"/>
      <c r="C506"/>
      <c r="D506"/>
      <c r="E506"/>
      <c r="F506"/>
      <c r="G506"/>
      <c r="H506"/>
      <c r="I506"/>
      <c r="J506"/>
      <c r="K506"/>
      <c r="L506"/>
    </row>
    <row r="507" spans="1:12">
      <c r="A507"/>
      <c r="B507"/>
      <c r="C507"/>
      <c r="D507"/>
      <c r="E507"/>
      <c r="F507"/>
      <c r="G507"/>
      <c r="H507"/>
      <c r="I507"/>
      <c r="J507"/>
      <c r="K507"/>
      <c r="L507"/>
    </row>
    <row r="508" spans="1:12">
      <c r="A508"/>
      <c r="B508"/>
      <c r="C508"/>
      <c r="D508"/>
      <c r="E508"/>
      <c r="F508"/>
      <c r="G508"/>
      <c r="H508"/>
      <c r="I508"/>
      <c r="J508"/>
      <c r="K508"/>
      <c r="L508"/>
    </row>
    <row r="509" spans="1:12">
      <c r="A509"/>
      <c r="B509"/>
      <c r="C509"/>
      <c r="D509"/>
      <c r="E509"/>
      <c r="F509"/>
      <c r="G509"/>
      <c r="H509"/>
      <c r="I509"/>
      <c r="J509"/>
      <c r="K509"/>
      <c r="L509"/>
    </row>
    <row r="510" spans="1:12">
      <c r="A510"/>
      <c r="B510"/>
      <c r="C510"/>
      <c r="D510"/>
      <c r="E510"/>
      <c r="F510"/>
      <c r="G510"/>
      <c r="H510"/>
      <c r="I510"/>
      <c r="J510"/>
      <c r="K510"/>
      <c r="L510"/>
    </row>
    <row r="511" spans="1:12">
      <c r="A511"/>
      <c r="B511"/>
      <c r="C511"/>
      <c r="D511"/>
      <c r="E511"/>
      <c r="F511"/>
      <c r="G511"/>
      <c r="H511"/>
      <c r="I511"/>
      <c r="J511"/>
      <c r="K511"/>
      <c r="L511"/>
    </row>
    <row r="512" spans="1:12">
      <c r="A512"/>
      <c r="B512"/>
      <c r="C512"/>
      <c r="D512"/>
      <c r="E512"/>
      <c r="F512"/>
      <c r="G512"/>
      <c r="H512"/>
      <c r="I512"/>
      <c r="J512"/>
      <c r="K512"/>
      <c r="L512"/>
    </row>
    <row r="513" spans="1:12">
      <c r="A513"/>
      <c r="B513"/>
      <c r="C513"/>
      <c r="D513"/>
      <c r="E513"/>
      <c r="F513"/>
      <c r="G513"/>
      <c r="H513"/>
      <c r="I513"/>
      <c r="J513"/>
      <c r="K513"/>
      <c r="L513"/>
    </row>
    <row r="514" spans="1:12">
      <c r="A514"/>
      <c r="B514"/>
      <c r="C514"/>
      <c r="D514"/>
      <c r="E514"/>
      <c r="F514"/>
      <c r="G514"/>
      <c r="H514"/>
      <c r="I514"/>
      <c r="J514"/>
      <c r="K514"/>
      <c r="L514"/>
    </row>
    <row r="515" spans="1:12">
      <c r="A515"/>
      <c r="B515"/>
      <c r="C515"/>
      <c r="D515"/>
      <c r="E515"/>
      <c r="F515"/>
      <c r="G515"/>
      <c r="H515"/>
      <c r="I515"/>
      <c r="J515"/>
      <c r="K515"/>
      <c r="L515"/>
    </row>
    <row r="516" spans="1:12">
      <c r="A516"/>
      <c r="B516"/>
      <c r="C516"/>
      <c r="D516"/>
      <c r="E516"/>
      <c r="F516"/>
      <c r="G516"/>
      <c r="H516"/>
      <c r="I516"/>
      <c r="J516"/>
      <c r="K516"/>
      <c r="L516"/>
    </row>
    <row r="517" spans="1:12">
      <c r="A517"/>
      <c r="B517"/>
      <c r="C517"/>
      <c r="D517"/>
      <c r="E517"/>
      <c r="F517"/>
      <c r="G517"/>
      <c r="H517"/>
      <c r="I517"/>
      <c r="J517"/>
      <c r="K517"/>
      <c r="L517"/>
    </row>
    <row r="518" spans="1:12">
      <c r="A518"/>
      <c r="B518"/>
      <c r="C518"/>
      <c r="D518"/>
      <c r="E518"/>
      <c r="F518"/>
      <c r="G518"/>
      <c r="H518"/>
      <c r="I518"/>
      <c r="J518"/>
      <c r="K518"/>
      <c r="L518"/>
    </row>
    <row r="519" spans="1:12">
      <c r="A519"/>
      <c r="B519"/>
      <c r="C519"/>
      <c r="D519"/>
      <c r="E519"/>
      <c r="F519"/>
      <c r="G519"/>
      <c r="H519"/>
      <c r="I519"/>
      <c r="J519"/>
      <c r="K519"/>
      <c r="L519"/>
    </row>
    <row r="520" spans="1:12">
      <c r="A520"/>
      <c r="B520"/>
      <c r="C520"/>
      <c r="D520"/>
      <c r="E520"/>
      <c r="F520"/>
      <c r="G520"/>
      <c r="H520"/>
      <c r="I520"/>
      <c r="J520"/>
      <c r="K520"/>
      <c r="L520"/>
    </row>
    <row r="521" spans="1:12">
      <c r="A521"/>
      <c r="B521"/>
      <c r="C521"/>
      <c r="D521"/>
      <c r="E521"/>
      <c r="F521"/>
      <c r="G521"/>
      <c r="H521"/>
      <c r="I521"/>
      <c r="J521"/>
      <c r="K521"/>
      <c r="L521"/>
    </row>
    <row r="522" spans="1:12">
      <c r="A522"/>
      <c r="B522"/>
      <c r="C522"/>
      <c r="D522"/>
      <c r="E522"/>
      <c r="F522"/>
      <c r="G522"/>
      <c r="H522"/>
      <c r="I522"/>
      <c r="J522"/>
      <c r="K522"/>
      <c r="L522"/>
    </row>
    <row r="523" spans="1:12">
      <c r="A523"/>
      <c r="B523"/>
      <c r="C523"/>
      <c r="D523"/>
      <c r="E523"/>
      <c r="F523"/>
      <c r="G523"/>
      <c r="H523"/>
      <c r="I523"/>
      <c r="J523"/>
      <c r="K523"/>
      <c r="L523"/>
    </row>
    <row r="524" spans="1:12">
      <c r="A524"/>
      <c r="B524"/>
      <c r="C524"/>
      <c r="D524"/>
      <c r="E524"/>
      <c r="F524"/>
      <c r="G524"/>
      <c r="H524"/>
      <c r="I524"/>
      <c r="J524"/>
      <c r="K524"/>
      <c r="L524"/>
    </row>
    <row r="525" spans="1:12">
      <c r="A525"/>
      <c r="B525"/>
      <c r="C525"/>
      <c r="D525"/>
      <c r="E525"/>
      <c r="F525"/>
      <c r="G525"/>
      <c r="H525"/>
      <c r="I525"/>
      <c r="J525"/>
      <c r="K525"/>
      <c r="L525"/>
    </row>
    <row r="526" spans="1:12">
      <c r="A526"/>
      <c r="B526"/>
      <c r="C526"/>
      <c r="D526"/>
      <c r="E526"/>
      <c r="F526"/>
      <c r="G526"/>
      <c r="H526"/>
      <c r="I526"/>
      <c r="J526"/>
      <c r="K526"/>
      <c r="L526"/>
    </row>
    <row r="527" spans="1:12">
      <c r="A527"/>
      <c r="B527"/>
      <c r="C527"/>
      <c r="D527"/>
      <c r="E527"/>
      <c r="F527"/>
      <c r="G527"/>
      <c r="H527"/>
      <c r="I527"/>
      <c r="J527"/>
      <c r="K527"/>
      <c r="L527"/>
    </row>
    <row r="528" spans="1:12">
      <c r="A528"/>
      <c r="B528"/>
      <c r="C528"/>
      <c r="D528"/>
      <c r="E528"/>
      <c r="F528"/>
      <c r="G528"/>
      <c r="H528"/>
      <c r="I528"/>
      <c r="J528"/>
      <c r="K528"/>
      <c r="L528"/>
    </row>
    <row r="529" spans="1:12">
      <c r="A529"/>
      <c r="B529"/>
      <c r="C529"/>
      <c r="D529"/>
      <c r="E529"/>
      <c r="F529"/>
      <c r="G529"/>
      <c r="H529"/>
      <c r="I529"/>
      <c r="J529"/>
      <c r="K529"/>
      <c r="L529"/>
    </row>
    <row r="530" spans="1:12">
      <c r="A530"/>
      <c r="B530"/>
      <c r="C530"/>
      <c r="D530"/>
      <c r="E530"/>
      <c r="F530"/>
      <c r="G530"/>
      <c r="H530"/>
      <c r="I530"/>
      <c r="J530"/>
      <c r="K530"/>
      <c r="L530"/>
    </row>
    <row r="531" spans="1:12">
      <c r="A531"/>
      <c r="B531"/>
      <c r="C531"/>
      <c r="D531"/>
      <c r="E531"/>
      <c r="F531"/>
      <c r="G531"/>
      <c r="H531"/>
      <c r="I531"/>
      <c r="J531"/>
      <c r="K531"/>
      <c r="L531"/>
    </row>
    <row r="532" spans="1:12">
      <c r="A532"/>
      <c r="B532"/>
      <c r="C532"/>
      <c r="D532"/>
      <c r="E532"/>
      <c r="F532"/>
      <c r="G532"/>
      <c r="H532"/>
      <c r="I532"/>
      <c r="J532"/>
      <c r="K532"/>
      <c r="L532"/>
    </row>
    <row r="533" spans="1:12">
      <c r="A533"/>
      <c r="B533"/>
      <c r="C533"/>
      <c r="D533"/>
      <c r="E533"/>
      <c r="F533"/>
      <c r="G533"/>
      <c r="H533"/>
      <c r="I533"/>
      <c r="J533"/>
      <c r="K533"/>
      <c r="L533"/>
    </row>
    <row r="534" spans="1:12">
      <c r="A534"/>
      <c r="B534"/>
      <c r="C534"/>
      <c r="D534"/>
      <c r="E534"/>
      <c r="F534"/>
      <c r="G534"/>
      <c r="H534"/>
      <c r="I534"/>
      <c r="J534"/>
      <c r="K534"/>
      <c r="L534"/>
    </row>
    <row r="535" spans="1:12">
      <c r="A535"/>
      <c r="B535"/>
      <c r="C535"/>
      <c r="D535"/>
      <c r="E535"/>
      <c r="F535"/>
      <c r="G535"/>
      <c r="H535"/>
      <c r="I535"/>
      <c r="J535"/>
      <c r="K535"/>
      <c r="L535"/>
    </row>
    <row r="536" spans="1:12">
      <c r="A536"/>
      <c r="B536"/>
      <c r="C536"/>
      <c r="D536"/>
      <c r="E536"/>
      <c r="F536"/>
      <c r="G536"/>
      <c r="H536"/>
      <c r="I536"/>
      <c r="J536"/>
      <c r="K536"/>
      <c r="L536"/>
    </row>
    <row r="537" spans="1:12">
      <c r="A537"/>
      <c r="B537"/>
      <c r="C537"/>
      <c r="D537"/>
      <c r="E537"/>
      <c r="F537"/>
      <c r="G537"/>
      <c r="H537"/>
      <c r="I537"/>
      <c r="J537"/>
      <c r="K537"/>
      <c r="L537"/>
    </row>
    <row r="538" spans="1:12">
      <c r="A538"/>
      <c r="B538"/>
      <c r="C538"/>
      <c r="D538"/>
      <c r="E538"/>
      <c r="F538"/>
      <c r="G538"/>
      <c r="H538"/>
      <c r="I538"/>
      <c r="J538"/>
      <c r="K538"/>
      <c r="L538"/>
    </row>
    <row r="539" spans="1:12">
      <c r="A539"/>
      <c r="B539"/>
      <c r="C539"/>
      <c r="D539"/>
      <c r="E539"/>
      <c r="F539"/>
      <c r="G539"/>
      <c r="H539"/>
      <c r="I539"/>
      <c r="J539"/>
      <c r="K539"/>
      <c r="L539"/>
    </row>
    <row r="540" spans="1:12">
      <c r="A540"/>
      <c r="B540"/>
      <c r="C540"/>
      <c r="D540"/>
      <c r="E540"/>
      <c r="F540"/>
      <c r="G540"/>
      <c r="H540"/>
      <c r="I540"/>
      <c r="J540"/>
      <c r="K540"/>
      <c r="L540"/>
    </row>
    <row r="541" spans="1:12">
      <c r="A541"/>
      <c r="B541"/>
      <c r="C541"/>
      <c r="D541"/>
      <c r="E541"/>
      <c r="F541"/>
      <c r="G541"/>
      <c r="H541"/>
      <c r="I541"/>
      <c r="J541"/>
      <c r="K541"/>
      <c r="L541"/>
    </row>
    <row r="542" spans="1:12">
      <c r="A542"/>
      <c r="B542"/>
      <c r="C542"/>
      <c r="D542"/>
      <c r="E542"/>
      <c r="F542"/>
      <c r="G542"/>
      <c r="H542"/>
      <c r="I542"/>
      <c r="J542"/>
      <c r="K542"/>
      <c r="L542"/>
    </row>
    <row r="543" spans="1:12">
      <c r="A543"/>
      <c r="B543"/>
      <c r="C543"/>
      <c r="D543"/>
      <c r="E543"/>
      <c r="F543"/>
      <c r="G543"/>
      <c r="H543"/>
      <c r="I543"/>
      <c r="J543"/>
      <c r="K543"/>
      <c r="L543"/>
    </row>
    <row r="544" spans="1:12">
      <c r="A544"/>
      <c r="B544"/>
      <c r="C544"/>
      <c r="D544"/>
      <c r="E544"/>
      <c r="F544"/>
      <c r="G544"/>
      <c r="H544"/>
      <c r="I544"/>
      <c r="J544"/>
      <c r="K544"/>
      <c r="L544"/>
    </row>
    <row r="545" spans="1:12">
      <c r="A545"/>
      <c r="B545"/>
      <c r="C545"/>
      <c r="D545"/>
      <c r="E545"/>
      <c r="F545"/>
      <c r="G545"/>
      <c r="H545"/>
      <c r="I545"/>
      <c r="J545"/>
      <c r="K545"/>
      <c r="L545"/>
    </row>
    <row r="546" spans="1:12">
      <c r="A546"/>
      <c r="B546"/>
      <c r="C546"/>
      <c r="D546"/>
      <c r="E546"/>
      <c r="F546"/>
      <c r="G546"/>
      <c r="H546"/>
      <c r="I546"/>
      <c r="J546"/>
      <c r="K546"/>
      <c r="L546"/>
    </row>
    <row r="547" spans="1:12">
      <c r="A547"/>
      <c r="B547"/>
      <c r="C547"/>
      <c r="D547"/>
      <c r="E547"/>
      <c r="F547"/>
      <c r="G547"/>
      <c r="H547"/>
      <c r="I547"/>
      <c r="J547"/>
      <c r="K547"/>
      <c r="L547"/>
    </row>
    <row r="548" spans="1:12">
      <c r="A548"/>
      <c r="B548"/>
      <c r="C548"/>
      <c r="D548"/>
      <c r="E548"/>
      <c r="F548"/>
      <c r="G548"/>
      <c r="H548"/>
      <c r="I548"/>
      <c r="J548"/>
      <c r="K548"/>
      <c r="L548"/>
    </row>
    <row r="549" spans="1:12">
      <c r="A549"/>
      <c r="B549"/>
      <c r="C549"/>
      <c r="D549"/>
      <c r="E549"/>
      <c r="F549"/>
      <c r="G549"/>
      <c r="H549"/>
      <c r="I549"/>
      <c r="J549"/>
      <c r="K549"/>
      <c r="L549"/>
    </row>
    <row r="550" spans="1:12">
      <c r="A550"/>
      <c r="B550"/>
      <c r="C550"/>
      <c r="D550"/>
      <c r="E550"/>
      <c r="F550"/>
      <c r="G550"/>
      <c r="H550"/>
      <c r="I550"/>
      <c r="J550"/>
      <c r="K550"/>
      <c r="L550"/>
    </row>
    <row r="551" spans="1:12">
      <c r="A551"/>
      <c r="B551"/>
      <c r="C551"/>
      <c r="D551"/>
      <c r="E551"/>
      <c r="F551"/>
      <c r="G551"/>
      <c r="H551"/>
      <c r="I551"/>
      <c r="J551"/>
      <c r="K551"/>
      <c r="L551"/>
    </row>
    <row r="552" spans="1:12">
      <c r="A552"/>
      <c r="B552"/>
      <c r="C552"/>
      <c r="D552"/>
      <c r="E552"/>
      <c r="F552"/>
      <c r="G552"/>
      <c r="H552"/>
      <c r="I552"/>
      <c r="J552"/>
      <c r="K552"/>
      <c r="L552"/>
    </row>
    <row r="553" spans="1:12">
      <c r="A553"/>
      <c r="B553"/>
      <c r="C553"/>
      <c r="D553"/>
      <c r="E553"/>
      <c r="F553"/>
      <c r="G553"/>
      <c r="H553"/>
      <c r="I553"/>
      <c r="J553"/>
      <c r="K553"/>
      <c r="L553"/>
    </row>
    <row r="554" spans="1:12">
      <c r="A554"/>
      <c r="B554"/>
      <c r="C554"/>
      <c r="D554"/>
      <c r="E554"/>
      <c r="F554"/>
      <c r="G554"/>
      <c r="H554"/>
      <c r="I554"/>
      <c r="J554"/>
      <c r="K554"/>
      <c r="L554"/>
    </row>
    <row r="555" spans="1:12">
      <c r="A555"/>
      <c r="B555"/>
      <c r="C555"/>
      <c r="D555"/>
      <c r="E555"/>
      <c r="F555"/>
      <c r="G555"/>
      <c r="H555"/>
      <c r="I555"/>
      <c r="J555"/>
      <c r="K555"/>
      <c r="L555"/>
    </row>
    <row r="556" spans="1:12">
      <c r="A556"/>
      <c r="B556"/>
      <c r="C556"/>
      <c r="D556"/>
      <c r="E556"/>
      <c r="F556"/>
      <c r="G556"/>
      <c r="H556"/>
      <c r="I556"/>
      <c r="J556"/>
      <c r="K556"/>
      <c r="L556"/>
    </row>
    <row r="557" spans="1:12">
      <c r="A557"/>
      <c r="B557"/>
      <c r="C557"/>
      <c r="D557"/>
      <c r="E557"/>
      <c r="F557"/>
      <c r="G557"/>
      <c r="H557"/>
      <c r="I557"/>
      <c r="J557"/>
      <c r="K557"/>
      <c r="L557"/>
    </row>
    <row r="558" spans="1:12">
      <c r="A558"/>
      <c r="B558"/>
      <c r="C558"/>
      <c r="D558"/>
      <c r="E558"/>
      <c r="F558"/>
      <c r="G558"/>
      <c r="H558"/>
      <c r="I558"/>
      <c r="J558"/>
      <c r="K558"/>
      <c r="L558"/>
    </row>
    <row r="559" spans="1:12">
      <c r="A559"/>
      <c r="B559"/>
      <c r="C559"/>
      <c r="D559"/>
      <c r="E559"/>
      <c r="F559"/>
      <c r="G559"/>
      <c r="H559"/>
      <c r="I559"/>
      <c r="J559"/>
      <c r="K559"/>
      <c r="L559"/>
    </row>
    <row r="560" spans="1:12">
      <c r="A560"/>
      <c r="B560"/>
      <c r="C560"/>
      <c r="D560"/>
      <c r="E560"/>
      <c r="F560"/>
      <c r="G560"/>
      <c r="H560"/>
      <c r="I560"/>
      <c r="J560"/>
      <c r="K560"/>
      <c r="L560"/>
    </row>
    <row r="561" spans="1:12">
      <c r="A561"/>
      <c r="B561"/>
      <c r="C561"/>
      <c r="D561"/>
      <c r="E561"/>
      <c r="F561"/>
      <c r="G561"/>
      <c r="H561"/>
      <c r="I561"/>
      <c r="J561"/>
      <c r="K561"/>
      <c r="L561"/>
    </row>
    <row r="562" spans="1:12">
      <c r="A562"/>
      <c r="B562"/>
      <c r="C562"/>
      <c r="D562"/>
      <c r="E562"/>
      <c r="F562"/>
      <c r="G562"/>
      <c r="H562"/>
      <c r="I562"/>
      <c r="J562"/>
      <c r="K562"/>
      <c r="L562"/>
    </row>
    <row r="563" spans="1:12">
      <c r="A563"/>
      <c r="B563"/>
      <c r="C563"/>
      <c r="D563"/>
      <c r="E563"/>
      <c r="F563"/>
      <c r="G563"/>
      <c r="H563"/>
      <c r="I563"/>
      <c r="J563"/>
      <c r="K563"/>
      <c r="L563"/>
    </row>
    <row r="564" spans="1:12">
      <c r="A564"/>
      <c r="B564"/>
      <c r="C564"/>
      <c r="D564"/>
      <c r="E564"/>
      <c r="F564"/>
      <c r="G564"/>
      <c r="H564"/>
      <c r="I564"/>
      <c r="J564"/>
      <c r="K564"/>
      <c r="L564"/>
    </row>
    <row r="565" spans="1:12">
      <c r="A565"/>
      <c r="B565"/>
      <c r="C565"/>
      <c r="D565"/>
      <c r="E565"/>
      <c r="F565"/>
      <c r="G565"/>
      <c r="H565"/>
      <c r="I565"/>
      <c r="J565"/>
      <c r="K565"/>
      <c r="L565"/>
    </row>
    <row r="566" spans="1:12">
      <c r="A566"/>
      <c r="B566"/>
      <c r="C566"/>
      <c r="D566"/>
      <c r="E566"/>
      <c r="F566"/>
      <c r="G566"/>
      <c r="H566"/>
      <c r="I566"/>
      <c r="J566"/>
      <c r="K566"/>
      <c r="L566"/>
    </row>
    <row r="567" spans="1:12">
      <c r="A567"/>
      <c r="B567"/>
      <c r="C567"/>
      <c r="D567"/>
      <c r="E567"/>
      <c r="F567"/>
      <c r="G567"/>
      <c r="H567"/>
      <c r="I567"/>
      <c r="J567"/>
      <c r="K567"/>
      <c r="L567"/>
    </row>
    <row r="568" spans="1:12">
      <c r="A568"/>
      <c r="B568"/>
      <c r="C568"/>
      <c r="D568"/>
      <c r="E568"/>
      <c r="F568"/>
      <c r="G568"/>
      <c r="H568"/>
      <c r="I568"/>
      <c r="J568"/>
      <c r="K568"/>
      <c r="L568"/>
    </row>
    <row r="569" spans="1:12">
      <c r="A569"/>
      <c r="B569"/>
      <c r="C569"/>
      <c r="D569"/>
      <c r="E569"/>
      <c r="F569"/>
      <c r="G569"/>
      <c r="H569"/>
      <c r="I569"/>
      <c r="J569"/>
      <c r="K569"/>
      <c r="L569"/>
    </row>
    <row r="570" spans="1:12">
      <c r="A570"/>
      <c r="B570"/>
      <c r="C570"/>
      <c r="D570"/>
      <c r="E570"/>
      <c r="F570"/>
      <c r="G570"/>
      <c r="H570"/>
      <c r="I570"/>
      <c r="J570"/>
      <c r="K570"/>
      <c r="L570"/>
    </row>
    <row r="571" spans="1:12">
      <c r="A571"/>
      <c r="B571"/>
      <c r="C571"/>
      <c r="D571"/>
      <c r="E571"/>
      <c r="F571"/>
      <c r="G571"/>
      <c r="H571"/>
      <c r="I571"/>
      <c r="J571"/>
      <c r="K571"/>
      <c r="L571"/>
    </row>
    <row r="572" spans="1:12">
      <c r="A572"/>
      <c r="B572"/>
      <c r="C572"/>
      <c r="D572"/>
      <c r="E572"/>
      <c r="F572"/>
      <c r="G572"/>
      <c r="H572"/>
      <c r="I572"/>
      <c r="J572"/>
      <c r="K572"/>
      <c r="L572"/>
    </row>
    <row r="573" spans="1:12">
      <c r="A573"/>
      <c r="B573"/>
      <c r="C573"/>
      <c r="D573"/>
      <c r="E573"/>
      <c r="F573"/>
      <c r="G573"/>
      <c r="H573"/>
      <c r="I573"/>
      <c r="J573"/>
      <c r="K573"/>
      <c r="L573"/>
    </row>
    <row r="574" spans="1:12">
      <c r="A574"/>
      <c r="B574"/>
      <c r="C574"/>
      <c r="D574"/>
      <c r="E574"/>
      <c r="F574"/>
      <c r="G574"/>
      <c r="H574"/>
      <c r="I574"/>
      <c r="J574"/>
      <c r="K574"/>
      <c r="L574"/>
    </row>
    <row r="575" spans="1:12">
      <c r="A575"/>
      <c r="B575"/>
      <c r="C575"/>
      <c r="D575"/>
      <c r="E575"/>
      <c r="F575"/>
      <c r="G575"/>
      <c r="H575"/>
      <c r="I575"/>
      <c r="J575"/>
      <c r="K575"/>
      <c r="L575"/>
    </row>
    <row r="576" spans="1:12">
      <c r="A576"/>
      <c r="B576"/>
      <c r="C576"/>
      <c r="D576"/>
      <c r="E576"/>
      <c r="F576"/>
      <c r="G576"/>
      <c r="H576"/>
      <c r="I576"/>
      <c r="J576"/>
      <c r="K576"/>
      <c r="L576"/>
    </row>
    <row r="577" spans="1:12">
      <c r="A577"/>
      <c r="B577"/>
      <c r="C577"/>
      <c r="D577"/>
      <c r="E577"/>
      <c r="F577"/>
      <c r="G577"/>
      <c r="H577"/>
      <c r="I577"/>
      <c r="J577"/>
      <c r="K577"/>
      <c r="L577"/>
    </row>
    <row r="578" spans="1:12">
      <c r="A578"/>
      <c r="B578"/>
      <c r="C578"/>
      <c r="D578"/>
      <c r="E578"/>
      <c r="F578"/>
      <c r="G578"/>
      <c r="H578"/>
      <c r="I578"/>
      <c r="J578"/>
      <c r="K578"/>
      <c r="L578"/>
    </row>
    <row r="579" spans="1:12">
      <c r="A579"/>
      <c r="B579"/>
      <c r="C579"/>
      <c r="D579"/>
      <c r="E579"/>
      <c r="F579"/>
      <c r="G579"/>
      <c r="H579"/>
      <c r="I579"/>
      <c r="J579"/>
      <c r="K579"/>
      <c r="L579"/>
    </row>
    <row r="580" spans="1:12">
      <c r="A580"/>
      <c r="B580"/>
      <c r="C580"/>
      <c r="D580"/>
      <c r="E580"/>
      <c r="F580"/>
      <c r="G580"/>
      <c r="H580"/>
      <c r="I580"/>
      <c r="J580"/>
      <c r="K580"/>
      <c r="L580"/>
    </row>
    <row r="581" spans="1:12">
      <c r="A581"/>
      <c r="B581"/>
      <c r="C581"/>
      <c r="D581"/>
      <c r="E581"/>
      <c r="F581"/>
      <c r="G581"/>
      <c r="H581"/>
      <c r="I581"/>
      <c r="J581"/>
      <c r="K581"/>
      <c r="L581"/>
    </row>
    <row r="582" spans="1:12">
      <c r="A582"/>
      <c r="B582"/>
      <c r="C582"/>
      <c r="D582"/>
      <c r="E582"/>
      <c r="F582"/>
      <c r="G582"/>
      <c r="H582"/>
      <c r="I582"/>
      <c r="J582"/>
      <c r="K582"/>
      <c r="L582"/>
    </row>
    <row r="583" spans="1:12">
      <c r="A583"/>
      <c r="B583"/>
      <c r="C583"/>
      <c r="D583"/>
      <c r="E583"/>
      <c r="F583"/>
      <c r="G583"/>
      <c r="H583"/>
      <c r="I583"/>
      <c r="J583"/>
      <c r="K583"/>
      <c r="L583"/>
    </row>
    <row r="584" spans="1:12">
      <c r="A584"/>
      <c r="B584"/>
      <c r="C584"/>
      <c r="D584"/>
      <c r="E584"/>
      <c r="F584"/>
      <c r="G584"/>
      <c r="H584"/>
      <c r="I584"/>
      <c r="J584"/>
      <c r="K584"/>
      <c r="L584"/>
    </row>
    <row r="585" spans="1:12">
      <c r="A585"/>
      <c r="B585"/>
      <c r="C585"/>
      <c r="D585"/>
      <c r="E585"/>
      <c r="F585"/>
      <c r="G585"/>
      <c r="H585"/>
      <c r="I585"/>
      <c r="J585"/>
      <c r="K585"/>
      <c r="L585"/>
    </row>
    <row r="586" spans="1:12">
      <c r="A586"/>
      <c r="B586"/>
      <c r="C586"/>
      <c r="D586"/>
      <c r="E586"/>
      <c r="F586"/>
      <c r="G586"/>
      <c r="H586"/>
      <c r="I586"/>
      <c r="J586"/>
      <c r="K586"/>
      <c r="L586"/>
    </row>
    <row r="587" spans="1:12">
      <c r="A587"/>
      <c r="B587"/>
      <c r="C587"/>
      <c r="D587"/>
      <c r="E587"/>
      <c r="F587"/>
      <c r="G587"/>
      <c r="H587"/>
      <c r="I587"/>
      <c r="J587"/>
      <c r="K587"/>
      <c r="L587"/>
    </row>
    <row r="588" spans="1:12">
      <c r="A588"/>
      <c r="B588"/>
      <c r="C588"/>
      <c r="D588"/>
      <c r="E588"/>
      <c r="F588"/>
      <c r="G588"/>
      <c r="H588"/>
      <c r="I588"/>
      <c r="J588"/>
      <c r="K588"/>
      <c r="L588"/>
    </row>
    <row r="589" spans="1:12">
      <c r="A589"/>
      <c r="B589"/>
      <c r="C589"/>
      <c r="D589"/>
      <c r="E589"/>
      <c r="F589"/>
      <c r="G589"/>
      <c r="H589"/>
      <c r="I589"/>
      <c r="J589"/>
      <c r="K589"/>
      <c r="L589"/>
    </row>
    <row r="590" spans="1:12">
      <c r="A590"/>
      <c r="B590"/>
      <c r="C590"/>
      <c r="D590"/>
      <c r="E590"/>
      <c r="F590"/>
      <c r="G590"/>
      <c r="H590"/>
      <c r="I590"/>
      <c r="J590"/>
      <c r="K590"/>
      <c r="L590"/>
    </row>
    <row r="591" spans="1:12">
      <c r="A591"/>
      <c r="B591"/>
      <c r="C591"/>
      <c r="D591"/>
      <c r="E591"/>
      <c r="F591"/>
      <c r="G591"/>
      <c r="H591"/>
      <c r="I591"/>
      <c r="J591"/>
      <c r="K591"/>
      <c r="L591"/>
    </row>
    <row r="592" spans="1:12">
      <c r="A592"/>
      <c r="B592"/>
      <c r="C592"/>
      <c r="D592"/>
      <c r="E592"/>
      <c r="F592"/>
      <c r="G592"/>
      <c r="H592"/>
      <c r="I592"/>
      <c r="J592"/>
      <c r="K592"/>
      <c r="L592"/>
    </row>
    <row r="593" spans="1:12">
      <c r="A593"/>
      <c r="B593"/>
      <c r="C593"/>
      <c r="D593"/>
      <c r="E593"/>
      <c r="F593"/>
      <c r="G593"/>
      <c r="H593"/>
      <c r="I593"/>
      <c r="J593"/>
      <c r="K593"/>
      <c r="L593"/>
    </row>
    <row r="594" spans="1:12">
      <c r="A594"/>
      <c r="B594"/>
      <c r="C594"/>
      <c r="D594"/>
      <c r="E594"/>
      <c r="F594"/>
      <c r="G594"/>
      <c r="H594"/>
      <c r="I594"/>
      <c r="J594"/>
      <c r="K594"/>
      <c r="L594"/>
    </row>
    <row r="595" spans="1:12">
      <c r="A595"/>
      <c r="B595"/>
      <c r="C595"/>
      <c r="D595"/>
      <c r="E595"/>
      <c r="F595"/>
      <c r="G595"/>
      <c r="H595"/>
      <c r="I595"/>
      <c r="J595"/>
      <c r="K595"/>
      <c r="L595"/>
    </row>
    <row r="596" spans="1:12">
      <c r="A596"/>
      <c r="B596"/>
      <c r="C596"/>
      <c r="D596"/>
      <c r="E596"/>
      <c r="F596"/>
      <c r="G596"/>
      <c r="H596"/>
      <c r="I596"/>
      <c r="J596"/>
      <c r="K596"/>
      <c r="L596"/>
    </row>
    <row r="597" spans="1:12">
      <c r="A597"/>
      <c r="B597"/>
      <c r="C597"/>
      <c r="D597"/>
      <c r="E597"/>
      <c r="F597"/>
      <c r="G597"/>
      <c r="H597"/>
      <c r="I597"/>
      <c r="J597"/>
      <c r="K597"/>
      <c r="L597"/>
    </row>
    <row r="598" spans="1:12">
      <c r="A598"/>
      <c r="B598"/>
      <c r="C598"/>
      <c r="D598"/>
      <c r="E598"/>
      <c r="F598"/>
      <c r="G598"/>
      <c r="H598"/>
      <c r="I598"/>
      <c r="J598"/>
      <c r="K598"/>
      <c r="L598"/>
    </row>
    <row r="599" spans="1:12">
      <c r="A599"/>
      <c r="B599"/>
      <c r="C599"/>
      <c r="D599"/>
      <c r="E599"/>
      <c r="F599"/>
      <c r="G599"/>
      <c r="H599"/>
      <c r="I599"/>
      <c r="J599"/>
      <c r="K599"/>
      <c r="L599"/>
    </row>
    <row r="600" spans="1:12">
      <c r="A600"/>
      <c r="B600"/>
      <c r="C600"/>
      <c r="D600"/>
      <c r="E600"/>
      <c r="F600"/>
      <c r="G600"/>
      <c r="H600"/>
      <c r="I600"/>
      <c r="J600"/>
      <c r="K600"/>
      <c r="L600"/>
    </row>
    <row r="601" spans="1:12">
      <c r="A601"/>
      <c r="B601"/>
      <c r="C601"/>
      <c r="D601"/>
      <c r="E601"/>
      <c r="F601"/>
      <c r="G601"/>
      <c r="H601"/>
      <c r="I601"/>
      <c r="J601"/>
      <c r="K601"/>
      <c r="L601"/>
    </row>
    <row r="602" spans="1:12">
      <c r="A602"/>
      <c r="B602"/>
      <c r="C602"/>
      <c r="D602"/>
      <c r="E602"/>
      <c r="F602"/>
      <c r="G602"/>
      <c r="H602"/>
      <c r="I602"/>
      <c r="J602"/>
      <c r="K602"/>
      <c r="L602"/>
    </row>
    <row r="603" spans="1:12">
      <c r="A603"/>
      <c r="B603"/>
      <c r="C603"/>
      <c r="D603"/>
      <c r="E603"/>
      <c r="F603"/>
      <c r="G603"/>
      <c r="H603"/>
      <c r="I603"/>
      <c r="J603"/>
      <c r="K603"/>
      <c r="L603"/>
    </row>
    <row r="604" spans="1:12">
      <c r="A604"/>
      <c r="B604"/>
      <c r="C604"/>
      <c r="D604"/>
      <c r="E604"/>
      <c r="F604"/>
      <c r="G604"/>
      <c r="H604"/>
      <c r="I604"/>
      <c r="J604"/>
      <c r="K604"/>
      <c r="L604"/>
    </row>
    <row r="605" spans="1:12">
      <c r="A605"/>
      <c r="B605"/>
      <c r="C605"/>
      <c r="D605"/>
      <c r="E605"/>
      <c r="F605"/>
      <c r="G605"/>
      <c r="H605"/>
      <c r="I605"/>
      <c r="J605"/>
      <c r="K605"/>
      <c r="L605"/>
    </row>
    <row r="606" spans="1:12">
      <c r="A606"/>
      <c r="B606"/>
      <c r="C606"/>
      <c r="D606"/>
      <c r="E606"/>
      <c r="F606"/>
      <c r="G606"/>
      <c r="H606"/>
      <c r="I606"/>
      <c r="J606"/>
      <c r="K606"/>
      <c r="L606"/>
    </row>
    <row r="607" spans="1:12">
      <c r="A607"/>
      <c r="B607"/>
      <c r="C607"/>
      <c r="D607"/>
      <c r="E607"/>
      <c r="F607"/>
      <c r="G607"/>
      <c r="H607"/>
      <c r="I607"/>
      <c r="J607"/>
      <c r="K607"/>
      <c r="L607"/>
    </row>
    <row r="608" spans="1:12">
      <c r="A608"/>
      <c r="B608"/>
      <c r="C608"/>
      <c r="D608"/>
      <c r="E608"/>
      <c r="F608"/>
      <c r="G608"/>
      <c r="H608"/>
      <c r="I608"/>
      <c r="J608"/>
      <c r="K608"/>
      <c r="L608"/>
    </row>
    <row r="609" spans="1:12">
      <c r="A609"/>
      <c r="B609"/>
      <c r="C609"/>
      <c r="D609"/>
      <c r="E609"/>
      <c r="F609"/>
      <c r="G609"/>
      <c r="H609"/>
      <c r="I609"/>
      <c r="J609"/>
      <c r="K609"/>
      <c r="L609"/>
    </row>
    <row r="610" spans="1:12">
      <c r="A610"/>
      <c r="B610"/>
      <c r="C610"/>
      <c r="D610"/>
      <c r="E610"/>
      <c r="F610"/>
      <c r="G610"/>
      <c r="H610"/>
      <c r="I610"/>
      <c r="J610"/>
      <c r="K610"/>
      <c r="L610"/>
    </row>
    <row r="611" spans="1:12">
      <c r="A611"/>
      <c r="B611"/>
      <c r="C611"/>
      <c r="D611"/>
      <c r="E611"/>
      <c r="F611"/>
      <c r="G611"/>
      <c r="H611"/>
      <c r="I611"/>
      <c r="J611"/>
      <c r="K611"/>
      <c r="L611"/>
    </row>
    <row r="612" spans="1:12">
      <c r="A612"/>
      <c r="B612"/>
      <c r="C612"/>
      <c r="D612"/>
      <c r="E612"/>
      <c r="F612"/>
      <c r="G612"/>
      <c r="H612"/>
      <c r="I612"/>
      <c r="J612"/>
      <c r="K612"/>
      <c r="L612"/>
    </row>
    <row r="613" spans="1:12">
      <c r="A613"/>
      <c r="B613"/>
      <c r="C613"/>
      <c r="D613"/>
      <c r="E613"/>
      <c r="F613"/>
      <c r="G613"/>
      <c r="H613"/>
      <c r="I613"/>
      <c r="J613"/>
      <c r="K613"/>
      <c r="L613"/>
    </row>
    <row r="614" spans="1:12">
      <c r="A614"/>
      <c r="B614"/>
      <c r="C614"/>
      <c r="D614"/>
      <c r="E614"/>
      <c r="F614"/>
      <c r="G614"/>
      <c r="H614"/>
      <c r="I614"/>
      <c r="J614"/>
      <c r="K614"/>
      <c r="L614"/>
    </row>
    <row r="615" spans="1:12">
      <c r="A615"/>
      <c r="B615"/>
      <c r="C615"/>
      <c r="D615"/>
      <c r="E615"/>
      <c r="F615"/>
      <c r="G615"/>
      <c r="H615"/>
      <c r="I615"/>
      <c r="J615"/>
      <c r="K615"/>
      <c r="L615"/>
    </row>
    <row r="616" spans="1:12">
      <c r="A616"/>
      <c r="B616"/>
      <c r="C616"/>
      <c r="D616"/>
      <c r="E616"/>
      <c r="F616"/>
      <c r="G616"/>
      <c r="H616"/>
      <c r="I616"/>
      <c r="J616"/>
      <c r="K616"/>
      <c r="L616"/>
    </row>
    <row r="617" spans="1:12">
      <c r="A617"/>
      <c r="B617"/>
      <c r="C617"/>
      <c r="D617"/>
      <c r="E617"/>
      <c r="F617"/>
      <c r="G617"/>
      <c r="H617"/>
      <c r="I617"/>
      <c r="J617"/>
      <c r="K617"/>
      <c r="L617"/>
    </row>
    <row r="618" spans="1:12">
      <c r="A618"/>
      <c r="B618"/>
      <c r="C618"/>
      <c r="D618"/>
      <c r="E618"/>
      <c r="F618"/>
      <c r="G618"/>
      <c r="H618"/>
      <c r="I618"/>
      <c r="J618"/>
      <c r="K618"/>
      <c r="L618"/>
    </row>
    <row r="619" spans="1:12">
      <c r="A619"/>
      <c r="B619"/>
      <c r="C619"/>
      <c r="D619"/>
      <c r="E619"/>
      <c r="F619"/>
      <c r="G619"/>
      <c r="H619"/>
      <c r="I619"/>
      <c r="J619"/>
      <c r="K619"/>
      <c r="L619"/>
    </row>
    <row r="620" spans="1:12">
      <c r="A620"/>
      <c r="B620"/>
      <c r="C620"/>
      <c r="D620"/>
      <c r="E620"/>
      <c r="F620"/>
      <c r="G620"/>
      <c r="H620"/>
      <c r="I620"/>
      <c r="J620"/>
      <c r="K620"/>
      <c r="L620"/>
    </row>
    <row r="621" spans="1:12">
      <c r="A621"/>
      <c r="B621"/>
      <c r="C621"/>
      <c r="D621"/>
      <c r="E621"/>
      <c r="F621"/>
      <c r="G621"/>
      <c r="H621"/>
      <c r="I621"/>
      <c r="J621"/>
      <c r="K621"/>
      <c r="L621"/>
    </row>
    <row r="622" spans="1:12">
      <c r="A622"/>
      <c r="B622"/>
      <c r="C622"/>
      <c r="D622"/>
      <c r="E622"/>
      <c r="F622"/>
      <c r="G622"/>
      <c r="H622"/>
      <c r="I622"/>
      <c r="J622"/>
      <c r="K622"/>
      <c r="L622"/>
    </row>
    <row r="623" spans="1:12">
      <c r="A623"/>
      <c r="B623"/>
      <c r="C623"/>
      <c r="D623"/>
      <c r="E623"/>
      <c r="F623"/>
      <c r="G623"/>
      <c r="H623"/>
      <c r="I623"/>
      <c r="J623"/>
      <c r="K623"/>
      <c r="L623"/>
    </row>
    <row r="624" spans="1:12">
      <c r="A624"/>
      <c r="B624"/>
      <c r="C624"/>
      <c r="D624"/>
      <c r="E624"/>
      <c r="F624"/>
      <c r="G624"/>
      <c r="H624"/>
      <c r="I624"/>
      <c r="J624"/>
      <c r="K624"/>
      <c r="L624"/>
    </row>
    <row r="625" spans="1:12">
      <c r="A625"/>
      <c r="B625"/>
      <c r="C625"/>
      <c r="D625"/>
      <c r="E625"/>
      <c r="F625"/>
      <c r="G625"/>
      <c r="H625"/>
      <c r="I625"/>
      <c r="J625"/>
      <c r="K625"/>
      <c r="L625"/>
    </row>
    <row r="626" spans="1:12">
      <c r="A626"/>
      <c r="B626"/>
      <c r="C626"/>
      <c r="D626"/>
      <c r="E626"/>
      <c r="F626"/>
      <c r="G626"/>
      <c r="H626"/>
      <c r="I626"/>
      <c r="J626"/>
      <c r="K626"/>
      <c r="L626"/>
    </row>
    <row r="627" spans="1:12">
      <c r="A627"/>
      <c r="B627"/>
      <c r="C627"/>
      <c r="D627"/>
      <c r="E627"/>
      <c r="F627"/>
      <c r="G627"/>
      <c r="H627"/>
      <c r="I627"/>
      <c r="J627"/>
      <c r="K627"/>
      <c r="L627"/>
    </row>
    <row r="628" spans="1:12">
      <c r="A628"/>
      <c r="B628"/>
      <c r="C628"/>
      <c r="D628"/>
      <c r="E628"/>
      <c r="F628"/>
      <c r="G628"/>
      <c r="H628"/>
      <c r="I628"/>
      <c r="J628"/>
      <c r="K628"/>
      <c r="L628"/>
    </row>
    <row r="629" spans="1:12">
      <c r="A629"/>
      <c r="B629"/>
      <c r="C629"/>
      <c r="D629"/>
      <c r="E629"/>
      <c r="F629"/>
      <c r="G629"/>
      <c r="H629"/>
      <c r="I629"/>
      <c r="J629"/>
      <c r="K629"/>
      <c r="L629"/>
    </row>
    <row r="630" spans="1:12">
      <c r="A630"/>
      <c r="B630"/>
      <c r="C630"/>
      <c r="D630"/>
      <c r="E630"/>
      <c r="F630"/>
      <c r="G630"/>
      <c r="H630"/>
      <c r="I630"/>
      <c r="J630"/>
      <c r="K630"/>
      <c r="L630"/>
    </row>
    <row r="631" spans="1:12">
      <c r="A631"/>
      <c r="B631"/>
      <c r="C631"/>
      <c r="D631"/>
      <c r="E631"/>
      <c r="F631"/>
      <c r="G631"/>
      <c r="H631"/>
      <c r="I631"/>
      <c r="J631"/>
      <c r="K631"/>
      <c r="L631"/>
    </row>
    <row r="632" spans="1:12">
      <c r="A632"/>
      <c r="B632"/>
      <c r="C632"/>
      <c r="D632"/>
      <c r="E632"/>
      <c r="F632"/>
      <c r="G632"/>
      <c r="H632"/>
      <c r="I632"/>
      <c r="J632"/>
      <c r="K632"/>
      <c r="L632"/>
    </row>
    <row r="633" spans="1:12">
      <c r="A633"/>
      <c r="B633"/>
      <c r="C633"/>
      <c r="D633"/>
      <c r="E633"/>
      <c r="F633"/>
      <c r="G633"/>
      <c r="H633"/>
      <c r="I633"/>
      <c r="J633"/>
      <c r="K633"/>
      <c r="L633"/>
    </row>
    <row r="634" spans="1:12">
      <c r="A634"/>
      <c r="B634"/>
      <c r="C634"/>
      <c r="D634"/>
      <c r="E634"/>
      <c r="F634"/>
      <c r="G634"/>
      <c r="H634"/>
      <c r="I634"/>
      <c r="J634"/>
      <c r="K634"/>
      <c r="L634"/>
    </row>
    <row r="635" spans="1:12">
      <c r="A635"/>
      <c r="B635"/>
      <c r="C635"/>
      <c r="D635"/>
      <c r="E635"/>
      <c r="F635"/>
      <c r="G635"/>
      <c r="H635"/>
      <c r="I635"/>
      <c r="J635"/>
      <c r="K635"/>
      <c r="L635"/>
    </row>
    <row r="636" spans="1:12">
      <c r="A636"/>
      <c r="B636"/>
      <c r="C636"/>
      <c r="D636"/>
      <c r="E636"/>
      <c r="F636"/>
      <c r="G636"/>
      <c r="H636"/>
      <c r="I636"/>
      <c r="J636"/>
      <c r="K636"/>
      <c r="L636"/>
    </row>
    <row r="637" spans="1:12">
      <c r="A637"/>
      <c r="B637"/>
      <c r="C637"/>
      <c r="D637"/>
      <c r="E637"/>
      <c r="F637"/>
      <c r="G637"/>
      <c r="H637"/>
      <c r="I637"/>
      <c r="J637"/>
      <c r="K637"/>
      <c r="L637"/>
    </row>
    <row r="638" spans="1:12">
      <c r="A638"/>
      <c r="B638"/>
      <c r="C638"/>
      <c r="D638"/>
      <c r="E638"/>
      <c r="F638"/>
      <c r="G638"/>
      <c r="H638"/>
      <c r="I638"/>
      <c r="J638"/>
      <c r="K638"/>
      <c r="L638"/>
    </row>
    <row r="639" spans="1:12">
      <c r="A639"/>
      <c r="B639"/>
      <c r="C639"/>
      <c r="D639"/>
      <c r="E639"/>
      <c r="F639"/>
      <c r="G639"/>
      <c r="H639"/>
      <c r="I639"/>
      <c r="J639"/>
      <c r="K639"/>
      <c r="L639"/>
    </row>
    <row r="640" spans="1:12">
      <c r="A640"/>
      <c r="B640"/>
      <c r="C640"/>
      <c r="D640"/>
      <c r="E640"/>
      <c r="F640"/>
      <c r="G640"/>
      <c r="H640"/>
      <c r="I640"/>
      <c r="J640"/>
      <c r="K640"/>
      <c r="L640"/>
    </row>
    <row r="641" spans="1:12">
      <c r="A641"/>
      <c r="B641"/>
      <c r="C641"/>
      <c r="D641"/>
      <c r="E641"/>
      <c r="F641"/>
      <c r="G641"/>
      <c r="H641"/>
      <c r="I641"/>
      <c r="J641"/>
      <c r="K641"/>
      <c r="L641"/>
    </row>
    <row r="642" spans="1:12">
      <c r="A642"/>
      <c r="B642"/>
      <c r="C642"/>
      <c r="D642"/>
      <c r="E642"/>
      <c r="F642"/>
      <c r="G642"/>
      <c r="H642"/>
      <c r="I642"/>
      <c r="J642"/>
      <c r="K642"/>
      <c r="L642"/>
    </row>
    <row r="643" spans="1:12">
      <c r="A643"/>
      <c r="B643"/>
      <c r="C643"/>
      <c r="D643"/>
      <c r="E643"/>
      <c r="F643"/>
      <c r="G643"/>
      <c r="H643"/>
      <c r="I643"/>
      <c r="J643"/>
      <c r="K643"/>
      <c r="L643"/>
    </row>
    <row r="644" spans="1:12">
      <c r="A644"/>
      <c r="B644"/>
      <c r="C644"/>
      <c r="D644"/>
      <c r="E644"/>
      <c r="F644"/>
      <c r="G644"/>
      <c r="H644"/>
      <c r="I644"/>
      <c r="J644"/>
      <c r="K644"/>
      <c r="L644"/>
    </row>
    <row r="645" spans="1:12">
      <c r="A645"/>
      <c r="B645"/>
      <c r="C645"/>
      <c r="D645"/>
      <c r="E645"/>
      <c r="F645"/>
      <c r="G645"/>
      <c r="H645"/>
      <c r="I645"/>
      <c r="J645"/>
      <c r="K645"/>
      <c r="L645"/>
    </row>
    <row r="646" spans="1:12">
      <c r="A646"/>
      <c r="B646"/>
      <c r="C646"/>
      <c r="D646"/>
      <c r="E646"/>
      <c r="F646"/>
      <c r="G646"/>
      <c r="H646"/>
      <c r="I646"/>
      <c r="J646"/>
      <c r="K646"/>
      <c r="L646"/>
    </row>
    <row r="647" spans="1:12">
      <c r="A647"/>
      <c r="B647"/>
      <c r="C647"/>
      <c r="D647"/>
      <c r="E647"/>
      <c r="F647"/>
      <c r="G647"/>
      <c r="H647"/>
      <c r="I647"/>
      <c r="J647"/>
      <c r="K647"/>
      <c r="L647"/>
    </row>
    <row r="648" spans="1:12">
      <c r="A648"/>
      <c r="B648"/>
      <c r="C648"/>
      <c r="D648"/>
      <c r="E648"/>
      <c r="F648"/>
      <c r="G648"/>
      <c r="H648"/>
      <c r="I648"/>
      <c r="J648"/>
      <c r="K648"/>
      <c r="L648"/>
    </row>
    <row r="649" spans="1:12">
      <c r="A649"/>
      <c r="B649"/>
      <c r="C649"/>
      <c r="D649"/>
      <c r="E649"/>
      <c r="F649"/>
      <c r="G649"/>
      <c r="H649"/>
      <c r="I649"/>
      <c r="J649"/>
      <c r="K649"/>
      <c r="L649"/>
    </row>
    <row r="650" spans="1:12">
      <c r="A650"/>
      <c r="B650"/>
      <c r="C650"/>
      <c r="D650"/>
      <c r="E650"/>
      <c r="F650"/>
      <c r="G650"/>
      <c r="H650"/>
      <c r="I650"/>
      <c r="J650"/>
      <c r="K650"/>
      <c r="L650"/>
    </row>
    <row r="651" spans="1:12">
      <c r="A651"/>
      <c r="B651"/>
      <c r="C651"/>
      <c r="D651"/>
      <c r="E651"/>
      <c r="F651"/>
      <c r="G651"/>
      <c r="H651"/>
      <c r="I651"/>
      <c r="J651"/>
      <c r="K651"/>
      <c r="L651"/>
    </row>
    <row r="652" spans="1:12">
      <c r="A652"/>
      <c r="B652"/>
      <c r="C652"/>
      <c r="D652"/>
      <c r="E652"/>
      <c r="F652"/>
      <c r="G652"/>
      <c r="H652"/>
      <c r="I652"/>
      <c r="J652"/>
      <c r="K652"/>
      <c r="L652"/>
    </row>
    <row r="653" spans="1:12">
      <c r="A653"/>
      <c r="B653"/>
      <c r="C653"/>
      <c r="D653"/>
      <c r="E653"/>
      <c r="F653"/>
      <c r="G653"/>
      <c r="H653"/>
      <c r="I653"/>
      <c r="J653"/>
      <c r="K653"/>
      <c r="L653"/>
    </row>
    <row r="654" spans="1:12">
      <c r="A654"/>
      <c r="B654"/>
      <c r="C654"/>
      <c r="D654"/>
      <c r="E654"/>
      <c r="F654"/>
      <c r="G654"/>
      <c r="H654"/>
      <c r="I654"/>
      <c r="J654"/>
      <c r="K654"/>
      <c r="L654"/>
    </row>
    <row r="655" spans="1:12">
      <c r="A655"/>
      <c r="B655"/>
      <c r="C655"/>
      <c r="D655"/>
      <c r="E655"/>
      <c r="F655"/>
      <c r="G655"/>
      <c r="H655"/>
      <c r="I655"/>
      <c r="J655"/>
      <c r="K655"/>
      <c r="L655"/>
    </row>
    <row r="656" spans="1:12">
      <c r="A656"/>
      <c r="B656"/>
      <c r="C656"/>
      <c r="D656"/>
      <c r="E656"/>
      <c r="F656"/>
      <c r="G656"/>
      <c r="H656"/>
      <c r="I656"/>
      <c r="J656"/>
      <c r="K656"/>
      <c r="L656"/>
    </row>
    <row r="657" spans="1:12">
      <c r="A657"/>
      <c r="B657"/>
      <c r="C657"/>
      <c r="D657"/>
      <c r="E657"/>
      <c r="F657"/>
      <c r="G657"/>
      <c r="H657"/>
      <c r="I657"/>
      <c r="J657"/>
      <c r="K657"/>
      <c r="L657"/>
    </row>
    <row r="658" spans="1:12">
      <c r="A658"/>
      <c r="B658"/>
      <c r="C658"/>
      <c r="D658"/>
      <c r="E658"/>
      <c r="F658"/>
      <c r="G658"/>
      <c r="H658"/>
      <c r="I658"/>
      <c r="J658"/>
      <c r="K658"/>
      <c r="L658"/>
    </row>
    <row r="659" spans="1:12">
      <c r="A659"/>
      <c r="B659"/>
      <c r="C659"/>
      <c r="D659"/>
      <c r="E659"/>
      <c r="F659"/>
      <c r="G659"/>
      <c r="H659"/>
      <c r="I659"/>
      <c r="J659"/>
      <c r="K659"/>
      <c r="L659"/>
    </row>
    <row r="660" spans="1:12">
      <c r="A660"/>
      <c r="B660"/>
      <c r="C660"/>
      <c r="D660"/>
      <c r="E660"/>
      <c r="F660"/>
      <c r="G660"/>
      <c r="H660"/>
      <c r="I660"/>
      <c r="J660"/>
      <c r="K660"/>
      <c r="L660"/>
    </row>
    <row r="661" spans="1:12">
      <c r="A661"/>
      <c r="B661"/>
      <c r="C661"/>
      <c r="D661"/>
      <c r="E661"/>
      <c r="F661"/>
      <c r="G661"/>
      <c r="H661"/>
      <c r="I661"/>
      <c r="J661"/>
      <c r="K661"/>
      <c r="L661"/>
    </row>
    <row r="662" spans="1:12">
      <c r="A662"/>
      <c r="B662"/>
      <c r="C662"/>
      <c r="D662"/>
      <c r="E662"/>
      <c r="F662"/>
      <c r="G662"/>
      <c r="H662"/>
      <c r="I662"/>
      <c r="J662"/>
      <c r="K662"/>
      <c r="L662"/>
    </row>
    <row r="663" spans="1:12">
      <c r="A663"/>
      <c r="B663"/>
      <c r="C663"/>
      <c r="D663"/>
      <c r="E663"/>
      <c r="F663"/>
      <c r="G663"/>
      <c r="H663"/>
      <c r="I663"/>
      <c r="J663"/>
      <c r="K663"/>
      <c r="L663"/>
    </row>
    <row r="664" spans="1:12">
      <c r="A664"/>
      <c r="B664"/>
      <c r="C664"/>
      <c r="D664"/>
      <c r="E664"/>
      <c r="F664"/>
      <c r="G664"/>
      <c r="H664"/>
      <c r="I664"/>
      <c r="J664"/>
      <c r="K664"/>
      <c r="L664"/>
    </row>
    <row r="665" spans="1:12">
      <c r="A665"/>
      <c r="B665"/>
      <c r="C665"/>
      <c r="D665"/>
      <c r="E665"/>
      <c r="F665"/>
      <c r="G665"/>
      <c r="H665"/>
      <c r="I665"/>
      <c r="J665"/>
      <c r="K665"/>
      <c r="L665"/>
    </row>
    <row r="666" spans="1:12">
      <c r="A666"/>
      <c r="B666"/>
      <c r="C666"/>
      <c r="D666"/>
      <c r="E666"/>
      <c r="F666"/>
      <c r="G666"/>
      <c r="H666"/>
      <c r="I666"/>
      <c r="J666"/>
      <c r="K666"/>
      <c r="L666"/>
    </row>
    <row r="667" spans="1:12">
      <c r="A667"/>
      <c r="B667"/>
      <c r="C667"/>
      <c r="D667"/>
      <c r="E667"/>
      <c r="F667"/>
      <c r="G667"/>
      <c r="H667"/>
      <c r="I667"/>
      <c r="J667"/>
      <c r="K667"/>
      <c r="L667"/>
    </row>
    <row r="668" spans="1:12">
      <c r="A668"/>
      <c r="B668"/>
      <c r="C668"/>
      <c r="D668"/>
      <c r="E668"/>
      <c r="F668"/>
      <c r="G668"/>
      <c r="H668"/>
      <c r="I668"/>
      <c r="J668"/>
      <c r="K668"/>
      <c r="L668"/>
    </row>
    <row r="669" spans="1:12">
      <c r="A669"/>
      <c r="B669"/>
      <c r="C669"/>
      <c r="D669"/>
      <c r="E669"/>
      <c r="F669"/>
      <c r="G669"/>
      <c r="H669"/>
      <c r="I669"/>
      <c r="J669"/>
      <c r="K669"/>
      <c r="L669"/>
    </row>
    <row r="670" spans="1:12">
      <c r="A670"/>
      <c r="B670"/>
      <c r="C670"/>
      <c r="D670"/>
      <c r="E670"/>
      <c r="F670"/>
      <c r="G670"/>
      <c r="H670"/>
      <c r="I670"/>
      <c r="J670"/>
      <c r="K670"/>
      <c r="L670"/>
    </row>
    <row r="671" spans="1:12">
      <c r="A671"/>
      <c r="B671"/>
      <c r="C671"/>
      <c r="D671"/>
      <c r="E671"/>
      <c r="F671"/>
      <c r="G671"/>
      <c r="H671"/>
      <c r="I671"/>
      <c r="J671"/>
      <c r="K671"/>
      <c r="L671"/>
    </row>
    <row r="672" spans="1:12">
      <c r="A672"/>
      <c r="B672"/>
      <c r="C672"/>
      <c r="D672"/>
      <c r="E672"/>
      <c r="F672"/>
      <c r="G672"/>
      <c r="H672"/>
      <c r="I672"/>
      <c r="J672"/>
      <c r="K672"/>
      <c r="L672"/>
    </row>
    <row r="673" spans="1:12">
      <c r="A673"/>
      <c r="B673"/>
      <c r="C673"/>
      <c r="D673"/>
      <c r="E673"/>
      <c r="F673"/>
      <c r="G673"/>
      <c r="H673"/>
      <c r="I673"/>
      <c r="J673"/>
      <c r="K673"/>
      <c r="L673"/>
    </row>
    <row r="674" spans="1:12">
      <c r="A674"/>
      <c r="B674"/>
      <c r="C674"/>
      <c r="D674"/>
      <c r="E674"/>
      <c r="F674"/>
      <c r="G674"/>
      <c r="H674"/>
      <c r="I674"/>
      <c r="J674"/>
      <c r="K674"/>
      <c r="L674"/>
    </row>
    <row r="675" spans="1:12">
      <c r="A675"/>
      <c r="B675"/>
      <c r="C675"/>
      <c r="D675"/>
      <c r="E675"/>
      <c r="F675"/>
      <c r="G675"/>
      <c r="H675"/>
      <c r="I675"/>
      <c r="J675"/>
      <c r="K675"/>
      <c r="L675"/>
    </row>
    <row r="676" spans="1:12">
      <c r="A676"/>
      <c r="B676"/>
      <c r="C676"/>
      <c r="D676"/>
      <c r="E676"/>
      <c r="F676"/>
      <c r="G676"/>
      <c r="H676"/>
      <c r="I676"/>
      <c r="J676"/>
      <c r="K676"/>
      <c r="L676"/>
    </row>
    <row r="677" spans="1:12">
      <c r="A677"/>
      <c r="B677"/>
      <c r="C677"/>
      <c r="D677"/>
      <c r="E677"/>
      <c r="F677"/>
      <c r="G677"/>
      <c r="H677"/>
      <c r="I677"/>
      <c r="J677"/>
      <c r="K677"/>
      <c r="L677"/>
    </row>
    <row r="678" spans="1:12">
      <c r="A678"/>
      <c r="B678"/>
      <c r="C678"/>
      <c r="D678"/>
      <c r="E678"/>
      <c r="F678"/>
      <c r="G678"/>
      <c r="H678"/>
      <c r="I678"/>
      <c r="J678"/>
      <c r="K678"/>
      <c r="L678"/>
    </row>
    <row r="679" spans="1:12">
      <c r="A679"/>
      <c r="B679"/>
      <c r="C679"/>
      <c r="D679"/>
      <c r="E679"/>
      <c r="F679"/>
      <c r="G679"/>
      <c r="H679"/>
      <c r="I679"/>
      <c r="J679"/>
      <c r="K679"/>
      <c r="L679"/>
    </row>
    <row r="680" spans="1:12">
      <c r="A680"/>
      <c r="B680"/>
      <c r="C680"/>
      <c r="D680"/>
      <c r="E680"/>
      <c r="F680"/>
      <c r="G680"/>
      <c r="H680"/>
      <c r="I680"/>
      <c r="J680"/>
      <c r="K680"/>
      <c r="L680"/>
    </row>
    <row r="681" spans="1:12">
      <c r="A681"/>
      <c r="B681"/>
      <c r="C681"/>
      <c r="D681"/>
      <c r="E681"/>
      <c r="F681"/>
      <c r="G681"/>
      <c r="H681"/>
      <c r="I681"/>
      <c r="J681"/>
      <c r="K681"/>
      <c r="L681"/>
    </row>
    <row r="682" spans="1:12">
      <c r="A682"/>
      <c r="B682"/>
      <c r="C682"/>
      <c r="D682"/>
      <c r="E682"/>
      <c r="F682"/>
      <c r="G682"/>
      <c r="H682"/>
      <c r="I682"/>
      <c r="J682"/>
      <c r="K682"/>
      <c r="L682"/>
    </row>
    <row r="683" spans="1:12">
      <c r="A683"/>
      <c r="B683"/>
      <c r="C683"/>
      <c r="D683"/>
      <c r="E683"/>
      <c r="F683"/>
      <c r="G683"/>
      <c r="H683"/>
      <c r="I683"/>
      <c r="J683"/>
      <c r="K683"/>
      <c r="L683"/>
    </row>
    <row r="684" spans="1:12">
      <c r="A684"/>
      <c r="B684"/>
      <c r="C684"/>
      <c r="D684"/>
      <c r="E684"/>
      <c r="F684"/>
      <c r="G684"/>
      <c r="H684"/>
      <c r="I684"/>
      <c r="J684"/>
      <c r="K684"/>
      <c r="L684"/>
    </row>
    <row r="685" spans="1:12">
      <c r="A685"/>
      <c r="B685"/>
      <c r="C685"/>
      <c r="D685"/>
      <c r="E685"/>
      <c r="F685"/>
      <c r="G685"/>
      <c r="H685"/>
      <c r="I685"/>
      <c r="J685"/>
      <c r="K685"/>
      <c r="L685"/>
    </row>
    <row r="686" spans="1:12">
      <c r="A686"/>
      <c r="B686"/>
      <c r="C686"/>
      <c r="D686"/>
      <c r="E686"/>
      <c r="F686"/>
      <c r="G686"/>
      <c r="H686"/>
      <c r="I686"/>
      <c r="J686"/>
      <c r="K686"/>
      <c r="L686"/>
    </row>
    <row r="687" spans="1:12">
      <c r="A687"/>
      <c r="B687"/>
      <c r="C687"/>
      <c r="D687"/>
      <c r="E687"/>
      <c r="F687"/>
      <c r="G687"/>
      <c r="H687"/>
      <c r="I687"/>
      <c r="J687"/>
      <c r="K687"/>
      <c r="L687"/>
    </row>
    <row r="688" spans="1:12">
      <c r="A688"/>
      <c r="B688"/>
      <c r="C688"/>
      <c r="D688"/>
      <c r="E688"/>
      <c r="F688"/>
      <c r="G688"/>
      <c r="H688"/>
      <c r="I688"/>
      <c r="J688"/>
      <c r="K688"/>
      <c r="L688"/>
    </row>
    <row r="689" spans="1:12">
      <c r="A689"/>
      <c r="B689"/>
      <c r="C689"/>
      <c r="D689"/>
      <c r="E689"/>
      <c r="F689"/>
      <c r="G689"/>
      <c r="H689"/>
      <c r="I689"/>
      <c r="J689"/>
      <c r="K689"/>
      <c r="L689"/>
    </row>
    <row r="690" spans="1:12">
      <c r="A690"/>
      <c r="B690"/>
      <c r="C690"/>
      <c r="D690"/>
      <c r="E690"/>
      <c r="F690"/>
      <c r="G690"/>
      <c r="H690"/>
      <c r="I690"/>
      <c r="J690"/>
      <c r="K690"/>
      <c r="L690"/>
    </row>
    <row r="691" spans="1:12">
      <c r="A691"/>
      <c r="B691"/>
      <c r="C691"/>
      <c r="D691"/>
      <c r="E691"/>
      <c r="F691"/>
      <c r="G691"/>
      <c r="H691"/>
      <c r="I691"/>
      <c r="J691"/>
      <c r="K691"/>
      <c r="L691"/>
    </row>
    <row r="692" spans="1:12">
      <c r="A692"/>
      <c r="B692"/>
      <c r="C692"/>
      <c r="D692"/>
      <c r="E692"/>
      <c r="F692"/>
      <c r="G692"/>
      <c r="H692"/>
      <c r="I692"/>
      <c r="J692"/>
      <c r="K692"/>
      <c r="L692"/>
    </row>
    <row r="693" spans="1:12">
      <c r="A693"/>
      <c r="B693"/>
      <c r="C693"/>
      <c r="D693"/>
      <c r="E693"/>
      <c r="F693"/>
      <c r="G693"/>
      <c r="H693"/>
      <c r="I693"/>
      <c r="J693"/>
      <c r="K693"/>
      <c r="L693"/>
    </row>
    <row r="694" spans="1:12">
      <c r="A694"/>
      <c r="B694"/>
      <c r="C694"/>
      <c r="D694"/>
      <c r="E694"/>
      <c r="F694"/>
      <c r="G694"/>
      <c r="H694"/>
      <c r="I694"/>
      <c r="J694"/>
      <c r="K694"/>
      <c r="L694"/>
    </row>
    <row r="695" spans="1:12">
      <c r="A695"/>
      <c r="B695"/>
      <c r="C695"/>
      <c r="D695"/>
      <c r="E695"/>
      <c r="F695"/>
      <c r="G695"/>
      <c r="H695"/>
      <c r="I695"/>
      <c r="J695"/>
      <c r="K695"/>
      <c r="L695"/>
    </row>
    <row r="696" spans="1:12">
      <c r="A696"/>
      <c r="B696"/>
      <c r="C696"/>
      <c r="D696"/>
      <c r="E696"/>
      <c r="F696"/>
      <c r="G696"/>
      <c r="H696"/>
      <c r="I696"/>
      <c r="J696"/>
      <c r="K696"/>
      <c r="L696"/>
    </row>
    <row r="697" spans="1:12">
      <c r="A697"/>
      <c r="B697"/>
      <c r="C697"/>
      <c r="D697"/>
      <c r="E697"/>
      <c r="F697"/>
      <c r="G697"/>
      <c r="H697"/>
      <c r="I697"/>
      <c r="J697"/>
      <c r="K697"/>
      <c r="L697"/>
    </row>
    <row r="698" spans="1:12">
      <c r="A698"/>
      <c r="B698"/>
      <c r="C698"/>
      <c r="D698"/>
      <c r="E698"/>
      <c r="F698"/>
      <c r="G698"/>
      <c r="H698"/>
      <c r="I698"/>
      <c r="J698"/>
      <c r="K698"/>
      <c r="L698"/>
    </row>
    <row r="699" spans="1:12">
      <c r="A699"/>
      <c r="B699"/>
      <c r="C699"/>
      <c r="D699"/>
      <c r="E699"/>
      <c r="F699"/>
      <c r="G699"/>
      <c r="H699"/>
      <c r="I699"/>
      <c r="J699"/>
      <c r="K699"/>
      <c r="L699"/>
    </row>
    <row r="700" spans="1:12">
      <c r="A700"/>
      <c r="B700"/>
      <c r="C700"/>
      <c r="D700"/>
      <c r="E700"/>
      <c r="F700"/>
      <c r="G700"/>
      <c r="H700"/>
      <c r="I700"/>
      <c r="J700"/>
      <c r="K700"/>
      <c r="L700"/>
    </row>
    <row r="701" spans="1:12">
      <c r="A701"/>
      <c r="B701"/>
      <c r="C701"/>
      <c r="D701"/>
      <c r="E701"/>
      <c r="F701"/>
      <c r="G701"/>
      <c r="H701"/>
      <c r="I701"/>
      <c r="J701"/>
      <c r="K701"/>
      <c r="L701"/>
    </row>
    <row r="702" spans="1:12">
      <c r="A702"/>
      <c r="B702"/>
      <c r="C702"/>
      <c r="D702"/>
      <c r="E702"/>
      <c r="F702"/>
      <c r="G702"/>
      <c r="H702"/>
      <c r="I702"/>
      <c r="J702"/>
      <c r="K702"/>
      <c r="L702"/>
    </row>
    <row r="703" spans="1:12">
      <c r="A703"/>
      <c r="B703"/>
      <c r="C703"/>
      <c r="D703"/>
      <c r="E703"/>
      <c r="F703"/>
      <c r="G703"/>
      <c r="H703"/>
      <c r="I703"/>
      <c r="J703"/>
      <c r="K703"/>
      <c r="L703"/>
    </row>
    <row r="704" spans="1:12">
      <c r="A704"/>
      <c r="B704"/>
      <c r="C704"/>
      <c r="D704"/>
      <c r="E704"/>
      <c r="F704"/>
      <c r="G704"/>
      <c r="H704"/>
      <c r="I704"/>
      <c r="J704"/>
      <c r="K704"/>
      <c r="L704"/>
    </row>
    <row r="705" spans="1:12">
      <c r="A705"/>
      <c r="B705"/>
      <c r="C705"/>
      <c r="D705"/>
      <c r="E705"/>
      <c r="F705"/>
      <c r="G705"/>
      <c r="H705"/>
      <c r="I705"/>
      <c r="J705"/>
      <c r="K705"/>
      <c r="L705"/>
    </row>
    <row r="706" spans="1:12">
      <c r="A706"/>
      <c r="B706"/>
      <c r="C706"/>
      <c r="D706"/>
      <c r="E706"/>
      <c r="F706"/>
      <c r="G706"/>
      <c r="H706"/>
      <c r="I706"/>
      <c r="J706"/>
      <c r="K706"/>
      <c r="L706"/>
    </row>
    <row r="707" spans="1:12">
      <c r="A707"/>
      <c r="B707"/>
      <c r="C707"/>
      <c r="D707"/>
      <c r="E707"/>
      <c r="F707"/>
      <c r="G707"/>
      <c r="H707"/>
      <c r="I707"/>
      <c r="J707"/>
      <c r="K707"/>
      <c r="L707"/>
    </row>
    <row r="708" spans="1:12">
      <c r="A708"/>
      <c r="B708"/>
      <c r="C708"/>
      <c r="D708"/>
      <c r="E708"/>
      <c r="F708"/>
      <c r="G708"/>
      <c r="H708"/>
      <c r="I708"/>
      <c r="J708"/>
      <c r="K708"/>
      <c r="L708"/>
    </row>
    <row r="709" spans="1:12">
      <c r="A709"/>
      <c r="B709"/>
      <c r="C709"/>
      <c r="D709"/>
      <c r="E709"/>
      <c r="F709"/>
      <c r="G709"/>
      <c r="H709"/>
      <c r="I709"/>
      <c r="J709"/>
      <c r="K709"/>
      <c r="L709"/>
    </row>
    <row r="710" spans="1:12">
      <c r="A710"/>
      <c r="B710"/>
      <c r="C710"/>
      <c r="D710"/>
      <c r="E710"/>
      <c r="F710"/>
      <c r="G710"/>
      <c r="H710"/>
      <c r="I710"/>
      <c r="J710"/>
      <c r="K710"/>
      <c r="L710"/>
    </row>
    <row r="711" spans="1:12">
      <c r="A711"/>
      <c r="B711"/>
      <c r="C711"/>
      <c r="D711"/>
      <c r="E711"/>
      <c r="F711"/>
      <c r="G711"/>
      <c r="H711"/>
      <c r="I711"/>
      <c r="J711"/>
      <c r="K711"/>
      <c r="L711"/>
    </row>
    <row r="712" spans="1:12">
      <c r="A712"/>
      <c r="B712"/>
      <c r="C712"/>
      <c r="D712"/>
      <c r="E712"/>
      <c r="F712"/>
      <c r="G712"/>
      <c r="H712"/>
      <c r="I712"/>
      <c r="J712"/>
      <c r="K712"/>
      <c r="L712"/>
    </row>
    <row r="713" spans="1:12">
      <c r="A713"/>
      <c r="B713"/>
      <c r="C713"/>
      <c r="D713"/>
      <c r="E713"/>
      <c r="F713"/>
      <c r="G713"/>
      <c r="H713"/>
      <c r="I713"/>
      <c r="J713"/>
      <c r="K713"/>
      <c r="L713"/>
    </row>
    <row r="714" spans="1:12">
      <c r="A714"/>
      <c r="B714"/>
      <c r="C714"/>
      <c r="D714"/>
      <c r="E714"/>
      <c r="F714"/>
      <c r="G714"/>
      <c r="H714"/>
      <c r="I714"/>
      <c r="J714"/>
      <c r="K714"/>
      <c r="L714"/>
    </row>
    <row r="715" spans="1:12">
      <c r="A715"/>
      <c r="B715"/>
      <c r="C715"/>
      <c r="D715"/>
      <c r="E715"/>
      <c r="F715"/>
      <c r="G715"/>
      <c r="H715"/>
      <c r="I715"/>
      <c r="J715"/>
      <c r="K715"/>
      <c r="L715"/>
    </row>
    <row r="716" spans="1:12">
      <c r="A716"/>
      <c r="B716"/>
      <c r="C716"/>
      <c r="D716"/>
      <c r="E716"/>
      <c r="F716"/>
      <c r="G716"/>
      <c r="H716"/>
      <c r="I716"/>
      <c r="J716"/>
      <c r="K716"/>
      <c r="L716"/>
    </row>
    <row r="717" spans="1:12">
      <c r="A717"/>
      <c r="B717"/>
      <c r="C717"/>
      <c r="D717"/>
      <c r="E717"/>
      <c r="F717"/>
      <c r="G717"/>
      <c r="H717"/>
      <c r="I717"/>
      <c r="J717"/>
      <c r="K717"/>
      <c r="L717"/>
    </row>
    <row r="718" spans="1:12">
      <c r="A718"/>
      <c r="B718"/>
      <c r="C718"/>
      <c r="D718"/>
      <c r="E718"/>
      <c r="F718"/>
      <c r="G718"/>
      <c r="H718"/>
      <c r="I718"/>
      <c r="J718"/>
      <c r="K718"/>
      <c r="L718"/>
    </row>
    <row r="719" spans="1:12">
      <c r="A719"/>
      <c r="B719"/>
      <c r="C719"/>
      <c r="D719"/>
      <c r="E719"/>
      <c r="F719"/>
      <c r="G719"/>
      <c r="H719"/>
      <c r="I719"/>
      <c r="J719"/>
      <c r="K719"/>
      <c r="L719"/>
    </row>
    <row r="720" spans="1:12">
      <c r="A720"/>
      <c r="B720"/>
      <c r="C720"/>
      <c r="D720"/>
      <c r="E720"/>
      <c r="F720"/>
      <c r="G720"/>
      <c r="H720"/>
      <c r="I720"/>
      <c r="J720"/>
      <c r="K720"/>
      <c r="L720"/>
    </row>
    <row r="721" spans="1:12">
      <c r="A721"/>
      <c r="B721"/>
      <c r="C721"/>
      <c r="D721"/>
      <c r="E721"/>
      <c r="F721"/>
      <c r="G721"/>
      <c r="H721"/>
      <c r="I721"/>
      <c r="J721"/>
      <c r="K721"/>
      <c r="L721"/>
    </row>
    <row r="722" spans="1:12">
      <c r="A722"/>
      <c r="B722"/>
      <c r="C722"/>
      <c r="D722"/>
      <c r="E722"/>
      <c r="F722"/>
      <c r="G722"/>
      <c r="H722"/>
      <c r="I722"/>
      <c r="J722"/>
      <c r="K722"/>
      <c r="L722"/>
    </row>
    <row r="723" spans="1:12">
      <c r="A723"/>
      <c r="B723"/>
      <c r="C723"/>
      <c r="D723"/>
      <c r="E723"/>
      <c r="F723"/>
      <c r="G723"/>
      <c r="H723"/>
      <c r="I723"/>
      <c r="J723"/>
      <c r="K723"/>
      <c r="L723"/>
    </row>
    <row r="724" spans="1:12">
      <c r="A724"/>
      <c r="B724"/>
      <c r="C724"/>
      <c r="D724"/>
      <c r="E724"/>
      <c r="F724"/>
      <c r="G724"/>
      <c r="H724"/>
      <c r="I724"/>
      <c r="J724"/>
      <c r="K724"/>
      <c r="L724"/>
    </row>
    <row r="725" spans="1:12">
      <c r="A725"/>
      <c r="B725"/>
      <c r="C725"/>
      <c r="D725"/>
      <c r="E725"/>
      <c r="F725"/>
      <c r="G725"/>
      <c r="H725"/>
      <c r="I725"/>
      <c r="J725"/>
      <c r="K725"/>
      <c r="L725"/>
    </row>
    <row r="726" spans="1:12">
      <c r="A726"/>
      <c r="B726"/>
      <c r="C726"/>
      <c r="D726"/>
      <c r="E726"/>
      <c r="F726"/>
      <c r="G726"/>
      <c r="H726"/>
      <c r="I726"/>
      <c r="J726"/>
      <c r="K726"/>
      <c r="L726"/>
    </row>
    <row r="727" spans="1:12">
      <c r="A727"/>
      <c r="B727"/>
      <c r="C727"/>
      <c r="D727"/>
      <c r="E727"/>
      <c r="F727"/>
      <c r="G727"/>
      <c r="H727"/>
      <c r="I727"/>
      <c r="J727"/>
      <c r="K727"/>
      <c r="L727"/>
    </row>
    <row r="728" spans="1:12">
      <c r="A728"/>
      <c r="B728"/>
      <c r="C728"/>
      <c r="D728"/>
      <c r="E728"/>
      <c r="F728"/>
      <c r="G728"/>
      <c r="H728"/>
      <c r="I728"/>
      <c r="J728"/>
      <c r="K728"/>
      <c r="L728"/>
    </row>
    <row r="729" spans="1:12">
      <c r="A729"/>
      <c r="B729"/>
      <c r="C729"/>
      <c r="D729"/>
      <c r="E729"/>
      <c r="F729"/>
      <c r="G729"/>
      <c r="H729"/>
      <c r="I729"/>
      <c r="J729"/>
      <c r="K729"/>
      <c r="L729"/>
    </row>
    <row r="730" spans="1:12">
      <c r="A730"/>
      <c r="B730"/>
      <c r="C730"/>
      <c r="D730"/>
      <c r="E730"/>
      <c r="F730"/>
      <c r="G730"/>
      <c r="H730"/>
      <c r="I730"/>
      <c r="J730"/>
      <c r="K730"/>
      <c r="L730"/>
    </row>
    <row r="731" spans="1:12">
      <c r="A731"/>
      <c r="B731"/>
      <c r="C731"/>
      <c r="D731"/>
      <c r="E731"/>
      <c r="F731"/>
      <c r="G731"/>
      <c r="H731"/>
      <c r="I731"/>
      <c r="J731"/>
      <c r="K731"/>
      <c r="L731"/>
    </row>
    <row r="732" spans="1:12">
      <c r="A732"/>
      <c r="B732"/>
      <c r="C732"/>
      <c r="D732"/>
      <c r="E732"/>
      <c r="F732"/>
      <c r="G732"/>
      <c r="H732"/>
      <c r="I732"/>
      <c r="J732"/>
      <c r="K732"/>
      <c r="L732"/>
    </row>
    <row r="733" spans="1:12">
      <c r="A733"/>
      <c r="B733"/>
      <c r="C733"/>
      <c r="D733"/>
      <c r="E733"/>
      <c r="F733"/>
      <c r="G733"/>
      <c r="H733"/>
      <c r="I733"/>
      <c r="J733"/>
      <c r="K733"/>
      <c r="L733"/>
    </row>
    <row r="734" spans="1:12">
      <c r="A734"/>
      <c r="B734"/>
      <c r="C734"/>
      <c r="D734"/>
      <c r="E734"/>
      <c r="F734"/>
      <c r="G734"/>
      <c r="H734"/>
      <c r="I734"/>
      <c r="J734"/>
      <c r="K734"/>
      <c r="L734"/>
    </row>
    <row r="735" spans="1:12">
      <c r="A735"/>
      <c r="B735"/>
      <c r="C735"/>
      <c r="D735"/>
      <c r="E735"/>
      <c r="F735"/>
      <c r="G735"/>
      <c r="H735"/>
      <c r="I735"/>
      <c r="J735"/>
      <c r="K735"/>
      <c r="L735"/>
    </row>
    <row r="736" spans="1:12">
      <c r="A736"/>
      <c r="B736"/>
      <c r="C736"/>
      <c r="D736"/>
      <c r="E736"/>
      <c r="F736"/>
      <c r="G736"/>
      <c r="H736"/>
      <c r="I736"/>
      <c r="J736"/>
      <c r="K736"/>
      <c r="L736"/>
    </row>
    <row r="737" spans="1:12">
      <c r="A737"/>
      <c r="B737"/>
      <c r="C737"/>
      <c r="D737"/>
      <c r="E737"/>
      <c r="F737"/>
      <c r="G737"/>
      <c r="H737"/>
      <c r="I737"/>
      <c r="J737"/>
      <c r="K737"/>
      <c r="L737"/>
    </row>
    <row r="738" spans="1:12">
      <c r="A738"/>
      <c r="B738"/>
      <c r="C738"/>
      <c r="D738"/>
      <c r="E738"/>
      <c r="F738"/>
      <c r="G738"/>
      <c r="H738"/>
      <c r="I738"/>
      <c r="J738"/>
      <c r="K738"/>
      <c r="L738"/>
    </row>
    <row r="739" spans="1:12">
      <c r="A739"/>
      <c r="B739"/>
      <c r="C739"/>
      <c r="D739"/>
      <c r="E739"/>
      <c r="F739"/>
      <c r="G739"/>
      <c r="H739"/>
      <c r="I739"/>
      <c r="J739"/>
      <c r="K739"/>
      <c r="L739"/>
    </row>
    <row r="740" spans="1:12">
      <c r="A740"/>
      <c r="B740"/>
      <c r="C740"/>
      <c r="D740"/>
      <c r="E740"/>
      <c r="F740"/>
      <c r="G740"/>
      <c r="H740"/>
      <c r="I740"/>
      <c r="J740"/>
      <c r="K740"/>
      <c r="L740"/>
    </row>
    <row r="741" spans="1:12">
      <c r="A741"/>
      <c r="B741"/>
      <c r="C741"/>
      <c r="D741"/>
      <c r="E741"/>
      <c r="F741"/>
      <c r="G741"/>
      <c r="H741"/>
      <c r="I741"/>
      <c r="J741"/>
      <c r="K741"/>
      <c r="L741"/>
    </row>
    <row r="742" spans="1:12">
      <c r="A742"/>
      <c r="B742"/>
      <c r="C742"/>
      <c r="D742"/>
      <c r="E742"/>
      <c r="F742"/>
      <c r="G742"/>
      <c r="H742"/>
      <c r="I742"/>
      <c r="J742"/>
      <c r="K742"/>
      <c r="L742"/>
    </row>
    <row r="743" spans="1:12">
      <c r="A743"/>
      <c r="B743"/>
      <c r="C743"/>
      <c r="D743"/>
      <c r="E743"/>
      <c r="F743"/>
      <c r="G743"/>
      <c r="H743"/>
      <c r="I743"/>
      <c r="J743"/>
      <c r="K743"/>
      <c r="L743"/>
    </row>
    <row r="744" spans="1:12">
      <c r="A744"/>
      <c r="B744"/>
      <c r="C744"/>
      <c r="D744"/>
      <c r="E744"/>
      <c r="F744"/>
      <c r="G744"/>
      <c r="H744"/>
      <c r="I744"/>
      <c r="J744"/>
      <c r="K744"/>
      <c r="L744"/>
    </row>
    <row r="745" spans="1:12">
      <c r="A745"/>
      <c r="B745"/>
      <c r="C745"/>
      <c r="D745"/>
      <c r="E745"/>
      <c r="F745"/>
      <c r="G745"/>
      <c r="H745"/>
      <c r="I745"/>
      <c r="J745"/>
      <c r="K745"/>
      <c r="L745"/>
    </row>
    <row r="746" spans="1:12">
      <c r="A746"/>
      <c r="B746"/>
      <c r="C746"/>
      <c r="D746"/>
      <c r="E746"/>
      <c r="F746"/>
      <c r="G746"/>
      <c r="H746"/>
      <c r="I746"/>
      <c r="J746"/>
      <c r="K746"/>
      <c r="L746"/>
    </row>
    <row r="747" spans="1:12">
      <c r="A747"/>
      <c r="B747"/>
      <c r="C747"/>
      <c r="D747"/>
      <c r="E747"/>
      <c r="F747"/>
      <c r="G747"/>
      <c r="H747"/>
      <c r="I747"/>
      <c r="J747"/>
      <c r="K747"/>
      <c r="L747"/>
    </row>
    <row r="748" spans="1:12">
      <c r="A748"/>
      <c r="B748"/>
      <c r="C748"/>
      <c r="D748"/>
      <c r="E748"/>
      <c r="F748"/>
      <c r="G748"/>
      <c r="H748"/>
      <c r="I748"/>
      <c r="J748"/>
      <c r="K748"/>
      <c r="L748"/>
    </row>
    <row r="749" spans="1:12">
      <c r="A749"/>
      <c r="B749"/>
      <c r="C749"/>
      <c r="D749"/>
      <c r="E749"/>
      <c r="F749"/>
      <c r="G749"/>
      <c r="H749"/>
      <c r="I749"/>
      <c r="J749"/>
      <c r="K749"/>
      <c r="L749"/>
    </row>
    <row r="750" spans="1:12">
      <c r="A750"/>
      <c r="B750"/>
      <c r="C750"/>
      <c r="D750"/>
      <c r="E750"/>
      <c r="F750"/>
      <c r="G750"/>
      <c r="H750"/>
      <c r="I750"/>
      <c r="J750"/>
      <c r="K750"/>
      <c r="L750"/>
    </row>
    <row r="751" spans="1:12">
      <c r="A751"/>
      <c r="B751"/>
      <c r="C751"/>
      <c r="D751"/>
      <c r="E751"/>
      <c r="F751"/>
      <c r="G751"/>
      <c r="H751"/>
      <c r="I751"/>
      <c r="J751"/>
      <c r="K751"/>
      <c r="L751"/>
    </row>
    <row r="752" spans="1:12">
      <c r="A752"/>
      <c r="B752"/>
      <c r="C752"/>
      <c r="D752"/>
      <c r="E752"/>
      <c r="F752"/>
      <c r="G752"/>
      <c r="H752"/>
      <c r="I752"/>
      <c r="J752"/>
      <c r="K752"/>
      <c r="L752"/>
    </row>
    <row r="753" spans="1:12">
      <c r="A753"/>
      <c r="B753"/>
      <c r="C753"/>
      <c r="D753"/>
      <c r="E753"/>
      <c r="F753"/>
      <c r="G753"/>
      <c r="H753"/>
      <c r="I753"/>
      <c r="J753"/>
      <c r="K753"/>
      <c r="L753"/>
    </row>
    <row r="754" spans="1:12">
      <c r="A754"/>
      <c r="B754"/>
      <c r="C754"/>
      <c r="D754"/>
      <c r="E754"/>
      <c r="F754"/>
      <c r="G754"/>
      <c r="H754"/>
      <c r="I754"/>
      <c r="J754"/>
      <c r="K754"/>
      <c r="L754"/>
    </row>
    <row r="755" spans="1:12">
      <c r="A755"/>
      <c r="B755"/>
      <c r="C755"/>
      <c r="D755"/>
      <c r="E755"/>
      <c r="F755"/>
      <c r="G755"/>
      <c r="H755"/>
      <c r="I755"/>
      <c r="J755"/>
      <c r="K755"/>
      <c r="L755"/>
    </row>
    <row r="756" spans="1:12">
      <c r="A756"/>
      <c r="B756"/>
      <c r="C756"/>
      <c r="D756"/>
      <c r="E756"/>
      <c r="F756"/>
      <c r="G756"/>
      <c r="H756"/>
      <c r="I756"/>
      <c r="J756"/>
      <c r="K756"/>
      <c r="L756"/>
    </row>
    <row r="757" spans="1:12">
      <c r="A757"/>
      <c r="B757"/>
      <c r="C757"/>
      <c r="D757"/>
      <c r="E757"/>
      <c r="F757"/>
      <c r="G757"/>
      <c r="H757"/>
      <c r="I757"/>
      <c r="J757"/>
      <c r="K757"/>
      <c r="L757"/>
    </row>
    <row r="758" spans="1:12">
      <c r="A758"/>
      <c r="B758"/>
      <c r="C758"/>
      <c r="D758"/>
      <c r="E758"/>
      <c r="F758"/>
      <c r="G758"/>
      <c r="H758"/>
      <c r="I758"/>
      <c r="J758"/>
      <c r="K758"/>
      <c r="L758"/>
    </row>
    <row r="759" spans="1:12">
      <c r="A759"/>
      <c r="B759"/>
      <c r="C759"/>
      <c r="D759"/>
      <c r="E759"/>
      <c r="F759"/>
      <c r="G759"/>
      <c r="H759"/>
      <c r="I759"/>
      <c r="J759"/>
      <c r="K759"/>
      <c r="L759"/>
    </row>
    <row r="760" spans="1:12">
      <c r="A760"/>
      <c r="B760"/>
      <c r="C760"/>
      <c r="D760"/>
      <c r="E760"/>
      <c r="F760"/>
      <c r="G760"/>
      <c r="H760"/>
      <c r="I760"/>
      <c r="J760"/>
      <c r="K760"/>
      <c r="L760"/>
    </row>
    <row r="761" spans="1:12">
      <c r="A761"/>
      <c r="B761"/>
      <c r="C761"/>
      <c r="D761"/>
      <c r="E761"/>
      <c r="F761"/>
      <c r="G761"/>
      <c r="H761"/>
      <c r="I761"/>
      <c r="J761"/>
      <c r="K761"/>
      <c r="L761"/>
    </row>
    <row r="762" spans="1:12">
      <c r="A762"/>
      <c r="B762"/>
      <c r="C762"/>
      <c r="D762"/>
      <c r="E762"/>
      <c r="F762"/>
      <c r="G762"/>
      <c r="H762"/>
      <c r="I762"/>
      <c r="J762"/>
      <c r="K762"/>
      <c r="L762"/>
    </row>
    <row r="763" spans="1:12">
      <c r="A763"/>
      <c r="B763"/>
      <c r="C763"/>
      <c r="D763"/>
      <c r="E763"/>
      <c r="F763"/>
      <c r="G763"/>
      <c r="H763"/>
      <c r="I763"/>
      <c r="J763"/>
      <c r="K763"/>
      <c r="L763"/>
    </row>
    <row r="764" spans="1:12">
      <c r="A764"/>
      <c r="B764"/>
      <c r="C764"/>
      <c r="D764"/>
      <c r="E764"/>
      <c r="F764"/>
      <c r="G764"/>
      <c r="H764"/>
      <c r="I764"/>
      <c r="J764"/>
      <c r="K764"/>
      <c r="L764"/>
    </row>
    <row r="765" spans="1:12">
      <c r="A765"/>
      <c r="B765"/>
      <c r="C765"/>
      <c r="D765"/>
      <c r="E765"/>
      <c r="F765"/>
      <c r="G765"/>
      <c r="H765"/>
      <c r="I765"/>
      <c r="J765"/>
      <c r="K765"/>
      <c r="L765"/>
    </row>
    <row r="766" spans="1:12">
      <c r="A766"/>
      <c r="B766"/>
      <c r="C766"/>
      <c r="D766"/>
      <c r="E766"/>
      <c r="F766"/>
      <c r="G766"/>
      <c r="H766"/>
      <c r="I766"/>
      <c r="J766"/>
      <c r="K766"/>
      <c r="L766"/>
    </row>
    <row r="767" spans="1:12">
      <c r="A767"/>
      <c r="B767"/>
      <c r="C767"/>
      <c r="D767"/>
      <c r="E767"/>
      <c r="F767"/>
      <c r="G767"/>
      <c r="H767"/>
      <c r="I767"/>
      <c r="J767"/>
      <c r="K767"/>
      <c r="L767"/>
    </row>
    <row r="768" spans="1:12">
      <c r="A768"/>
      <c r="B768"/>
      <c r="C768"/>
      <c r="D768"/>
      <c r="E768"/>
      <c r="F768"/>
      <c r="G768"/>
      <c r="H768"/>
      <c r="I768"/>
      <c r="J768"/>
      <c r="K768"/>
      <c r="L768"/>
    </row>
    <row r="769" spans="1:12">
      <c r="A769"/>
      <c r="B769"/>
      <c r="C769"/>
      <c r="D769"/>
      <c r="E769"/>
      <c r="F769"/>
      <c r="G769"/>
      <c r="H769"/>
      <c r="I769"/>
      <c r="J769"/>
      <c r="K769"/>
      <c r="L769"/>
    </row>
    <row r="770" spans="1:12">
      <c r="A770"/>
      <c r="B770"/>
      <c r="C770"/>
      <c r="D770"/>
      <c r="E770"/>
      <c r="F770"/>
      <c r="G770"/>
      <c r="H770"/>
      <c r="I770"/>
      <c r="J770"/>
      <c r="K770"/>
      <c r="L770"/>
    </row>
    <row r="771" spans="1:12">
      <c r="A771"/>
      <c r="B771"/>
      <c r="C771"/>
      <c r="D771"/>
      <c r="E771"/>
      <c r="F771"/>
      <c r="G771"/>
      <c r="H771"/>
      <c r="I771"/>
      <c r="J771"/>
      <c r="K771"/>
      <c r="L771"/>
    </row>
    <row r="772" spans="1:12">
      <c r="A772"/>
      <c r="B772"/>
      <c r="C772"/>
      <c r="D772"/>
      <c r="E772"/>
      <c r="F772"/>
      <c r="G772"/>
      <c r="H772"/>
      <c r="I772"/>
      <c r="J772"/>
      <c r="K772"/>
      <c r="L772"/>
    </row>
    <row r="773" spans="1:12">
      <c r="A773"/>
      <c r="B773"/>
      <c r="C773"/>
      <c r="D773"/>
      <c r="E773"/>
      <c r="F773"/>
      <c r="G773"/>
      <c r="H773"/>
      <c r="I773"/>
      <c r="J773"/>
      <c r="K773"/>
      <c r="L773"/>
    </row>
    <row r="774" spans="1:12">
      <c r="A774"/>
      <c r="B774"/>
      <c r="C774"/>
      <c r="D774"/>
      <c r="E774"/>
      <c r="F774"/>
      <c r="G774"/>
      <c r="H774"/>
      <c r="I774"/>
      <c r="J774"/>
      <c r="K774"/>
      <c r="L774"/>
    </row>
    <row r="775" spans="1:12">
      <c r="A775"/>
      <c r="B775"/>
      <c r="C775"/>
      <c r="D775"/>
      <c r="E775"/>
      <c r="F775"/>
      <c r="G775"/>
      <c r="H775"/>
      <c r="I775"/>
      <c r="J775"/>
      <c r="K775"/>
      <c r="L775"/>
    </row>
    <row r="776" spans="1:12">
      <c r="A776"/>
      <c r="B776"/>
      <c r="C776"/>
      <c r="D776"/>
      <c r="E776"/>
      <c r="F776"/>
      <c r="G776"/>
      <c r="H776"/>
      <c r="I776"/>
      <c r="J776"/>
      <c r="K776"/>
      <c r="L776"/>
    </row>
    <row r="777" spans="1:12">
      <c r="A777"/>
      <c r="B777"/>
      <c r="C777"/>
      <c r="D777"/>
      <c r="E777"/>
      <c r="F777"/>
      <c r="G777"/>
      <c r="H777"/>
      <c r="I777"/>
      <c r="J777"/>
      <c r="K777"/>
      <c r="L777"/>
    </row>
    <row r="778" spans="1:12">
      <c r="A778"/>
      <c r="B778"/>
      <c r="C778"/>
      <c r="D778"/>
      <c r="E778"/>
      <c r="F778"/>
      <c r="G778"/>
      <c r="H778"/>
      <c r="I778"/>
      <c r="J778"/>
      <c r="K778"/>
      <c r="L778"/>
    </row>
    <row r="779" spans="1:12">
      <c r="A779"/>
      <c r="B779"/>
      <c r="C779"/>
      <c r="D779"/>
      <c r="E779"/>
      <c r="F779"/>
      <c r="G779"/>
      <c r="H779"/>
      <c r="I779"/>
      <c r="J779"/>
      <c r="K779"/>
      <c r="L779"/>
    </row>
    <row r="780" spans="1:12">
      <c r="A780"/>
      <c r="B780"/>
      <c r="C780"/>
      <c r="D780"/>
      <c r="E780"/>
      <c r="F780"/>
      <c r="G780"/>
      <c r="H780"/>
      <c r="I780"/>
      <c r="J780"/>
      <c r="K780"/>
      <c r="L780"/>
    </row>
    <row r="781" spans="1:12">
      <c r="A781"/>
      <c r="B781"/>
      <c r="C781"/>
      <c r="D781"/>
      <c r="E781"/>
      <c r="F781"/>
      <c r="G781"/>
      <c r="H781"/>
      <c r="I781"/>
      <c r="J781"/>
      <c r="K781"/>
      <c r="L781"/>
    </row>
    <row r="782" spans="1:12">
      <c r="A782"/>
      <c r="B782"/>
      <c r="C782"/>
      <c r="D782"/>
      <c r="E782"/>
      <c r="F782"/>
      <c r="G782"/>
      <c r="H782"/>
      <c r="I782"/>
      <c r="J782"/>
      <c r="K782"/>
      <c r="L782"/>
    </row>
    <row r="783" spans="1:12">
      <c r="A783"/>
      <c r="B783"/>
      <c r="C783"/>
      <c r="D783"/>
      <c r="E783"/>
      <c r="F783"/>
      <c r="G783"/>
      <c r="H783"/>
      <c r="I783"/>
      <c r="J783"/>
      <c r="K783"/>
      <c r="L783"/>
    </row>
    <row r="784" spans="1:12">
      <c r="A784"/>
      <c r="B784"/>
      <c r="C784"/>
      <c r="D784"/>
      <c r="E784"/>
      <c r="F784"/>
      <c r="G784"/>
      <c r="H784"/>
      <c r="I784"/>
      <c r="J784"/>
      <c r="K784"/>
      <c r="L784"/>
    </row>
    <row r="785" spans="1:12">
      <c r="A785"/>
      <c r="B785"/>
      <c r="C785"/>
      <c r="D785"/>
      <c r="E785"/>
      <c r="F785"/>
      <c r="G785"/>
      <c r="H785"/>
      <c r="I785"/>
      <c r="J785"/>
      <c r="K785"/>
      <c r="L785"/>
    </row>
    <row r="786" spans="1:12">
      <c r="A786"/>
      <c r="B786"/>
      <c r="C786"/>
      <c r="D786"/>
      <c r="E786"/>
      <c r="F786"/>
      <c r="G786"/>
      <c r="H786"/>
      <c r="I786"/>
      <c r="J786"/>
      <c r="K786"/>
      <c r="L786"/>
    </row>
    <row r="787" spans="1:12">
      <c r="A787"/>
      <c r="B787"/>
      <c r="C787"/>
      <c r="D787"/>
      <c r="E787"/>
      <c r="F787"/>
      <c r="G787"/>
      <c r="H787"/>
      <c r="I787"/>
      <c r="J787"/>
      <c r="K787"/>
      <c r="L787"/>
    </row>
    <row r="788" spans="1:12">
      <c r="A788"/>
      <c r="B788"/>
      <c r="C788"/>
      <c r="D788"/>
      <c r="E788"/>
      <c r="F788"/>
      <c r="G788"/>
      <c r="H788"/>
      <c r="I788"/>
      <c r="J788"/>
      <c r="K788"/>
      <c r="L788"/>
    </row>
    <row r="789" spans="1:12">
      <c r="A789"/>
      <c r="B789"/>
      <c r="C789"/>
      <c r="D789"/>
      <c r="E789"/>
      <c r="F789"/>
      <c r="G789"/>
      <c r="H789"/>
      <c r="I789"/>
      <c r="J789"/>
      <c r="K789"/>
      <c r="L789"/>
    </row>
    <row r="790" spans="1:12">
      <c r="A790"/>
      <c r="B790"/>
      <c r="C790"/>
      <c r="D790"/>
      <c r="E790"/>
      <c r="F790"/>
      <c r="G790"/>
      <c r="H790"/>
      <c r="I790"/>
      <c r="J790"/>
      <c r="K790"/>
      <c r="L790"/>
    </row>
    <row r="791" spans="1:12">
      <c r="A791"/>
      <c r="B791"/>
      <c r="C791"/>
      <c r="D791"/>
      <c r="E791"/>
      <c r="F791"/>
      <c r="G791"/>
      <c r="H791"/>
      <c r="I791"/>
      <c r="J791"/>
      <c r="K791"/>
      <c r="L791"/>
    </row>
    <row r="792" spans="1:12">
      <c r="A792"/>
      <c r="B792"/>
      <c r="C792"/>
      <c r="D792"/>
      <c r="E792"/>
      <c r="F792"/>
      <c r="G792"/>
      <c r="H792"/>
      <c r="I792"/>
      <c r="J792"/>
      <c r="K792"/>
      <c r="L792"/>
    </row>
    <row r="793" spans="1:12">
      <c r="A793"/>
      <c r="B793"/>
      <c r="C793"/>
      <c r="D793"/>
      <c r="E793"/>
      <c r="F793"/>
      <c r="G793"/>
      <c r="H793"/>
      <c r="I793"/>
      <c r="J793"/>
      <c r="K793"/>
      <c r="L793"/>
    </row>
    <row r="794" spans="1:12">
      <c r="A794"/>
      <c r="B794"/>
      <c r="C794"/>
      <c r="D794"/>
      <c r="E794"/>
      <c r="F794"/>
      <c r="G794"/>
      <c r="H794"/>
      <c r="I794"/>
      <c r="J794"/>
      <c r="K794"/>
      <c r="L794"/>
    </row>
    <row r="795" spans="1:12">
      <c r="A795"/>
      <c r="B795"/>
      <c r="C795"/>
      <c r="D795"/>
      <c r="E795"/>
      <c r="F795"/>
      <c r="G795"/>
      <c r="H795"/>
      <c r="I795"/>
      <c r="J795"/>
      <c r="K795"/>
      <c r="L795"/>
    </row>
    <row r="796" spans="1:12">
      <c r="A796"/>
      <c r="B796"/>
      <c r="C796"/>
      <c r="D796"/>
      <c r="E796"/>
      <c r="F796"/>
      <c r="G796"/>
      <c r="H796"/>
      <c r="I796"/>
      <c r="J796"/>
      <c r="K796"/>
      <c r="L796"/>
    </row>
    <row r="797" spans="1:12">
      <c r="A797"/>
      <c r="B797"/>
      <c r="C797"/>
      <c r="D797"/>
      <c r="E797"/>
      <c r="F797"/>
      <c r="G797"/>
      <c r="H797"/>
      <c r="I797"/>
      <c r="J797"/>
      <c r="K797"/>
      <c r="L797"/>
    </row>
    <row r="798" spans="1:12">
      <c r="A798"/>
      <c r="B798"/>
      <c r="C798"/>
      <c r="D798"/>
      <c r="E798"/>
      <c r="F798"/>
      <c r="G798"/>
      <c r="H798"/>
      <c r="I798"/>
      <c r="J798"/>
      <c r="K798"/>
      <c r="L798"/>
    </row>
    <row r="799" spans="1:12">
      <c r="A799"/>
      <c r="B799"/>
      <c r="C799"/>
      <c r="D799"/>
      <c r="E799"/>
      <c r="F799"/>
      <c r="G799"/>
      <c r="H799"/>
      <c r="I799"/>
      <c r="J799"/>
      <c r="K799"/>
      <c r="L799"/>
    </row>
    <row r="800" spans="1:12">
      <c r="A800"/>
      <c r="B800"/>
      <c r="C800"/>
      <c r="D800"/>
      <c r="E800"/>
      <c r="F800"/>
      <c r="G800"/>
      <c r="H800"/>
      <c r="I800"/>
      <c r="J800"/>
      <c r="K800"/>
      <c r="L800"/>
    </row>
    <row r="801" spans="1:12">
      <c r="A801"/>
      <c r="B801"/>
      <c r="C801"/>
      <c r="D801"/>
      <c r="E801"/>
      <c r="F801"/>
      <c r="G801"/>
      <c r="H801"/>
      <c r="I801"/>
      <c r="J801"/>
      <c r="K801"/>
      <c r="L801"/>
    </row>
    <row r="802" spans="1:12">
      <c r="A802"/>
      <c r="B802"/>
      <c r="C802"/>
      <c r="D802"/>
      <c r="E802"/>
      <c r="F802"/>
      <c r="G802"/>
      <c r="H802"/>
      <c r="I802"/>
      <c r="J802"/>
      <c r="K802"/>
      <c r="L802"/>
    </row>
    <row r="803" spans="1:12">
      <c r="A803"/>
      <c r="B803"/>
      <c r="C803"/>
      <c r="D803"/>
      <c r="E803"/>
      <c r="F803"/>
      <c r="G803"/>
      <c r="H803"/>
      <c r="I803"/>
      <c r="J803"/>
      <c r="K803"/>
      <c r="L803"/>
    </row>
    <row r="804" spans="1:12">
      <c r="A804"/>
      <c r="B804"/>
      <c r="C804"/>
      <c r="D804"/>
      <c r="E804"/>
      <c r="F804"/>
      <c r="G804"/>
      <c r="H804"/>
      <c r="I804"/>
      <c r="J804"/>
      <c r="K804"/>
      <c r="L804"/>
    </row>
    <row r="805" spans="1:12">
      <c r="A805"/>
      <c r="B805"/>
      <c r="C805"/>
      <c r="D805"/>
      <c r="E805"/>
      <c r="F805"/>
      <c r="G805"/>
      <c r="H805"/>
      <c r="I805"/>
      <c r="J805"/>
      <c r="K805"/>
      <c r="L805"/>
    </row>
    <row r="806" spans="1:12">
      <c r="A806"/>
      <c r="B806"/>
      <c r="C806"/>
      <c r="D806"/>
      <c r="E806"/>
      <c r="F806"/>
      <c r="G806"/>
      <c r="H806"/>
      <c r="I806"/>
      <c r="J806"/>
      <c r="K806"/>
      <c r="L806"/>
    </row>
    <row r="807" spans="1:12">
      <c r="A807"/>
      <c r="B807"/>
      <c r="C807"/>
      <c r="D807"/>
      <c r="E807"/>
      <c r="F807"/>
      <c r="G807"/>
      <c r="H807"/>
      <c r="I807"/>
      <c r="J807"/>
      <c r="K807"/>
      <c r="L807"/>
    </row>
    <row r="808" spans="1:12">
      <c r="A808"/>
      <c r="B808"/>
      <c r="C808"/>
      <c r="D808"/>
      <c r="E808"/>
      <c r="F808"/>
      <c r="G808"/>
      <c r="H808"/>
      <c r="I808"/>
      <c r="J808"/>
      <c r="K808"/>
      <c r="L808"/>
    </row>
    <row r="809" spans="1:12">
      <c r="A809"/>
      <c r="B809"/>
      <c r="C809"/>
      <c r="D809"/>
      <c r="E809"/>
      <c r="F809"/>
      <c r="G809"/>
      <c r="H809"/>
      <c r="I809"/>
      <c r="J809"/>
      <c r="K809"/>
      <c r="L809"/>
    </row>
    <row r="810" spans="1:12">
      <c r="A810"/>
      <c r="B810"/>
      <c r="C810"/>
      <c r="D810"/>
      <c r="E810"/>
      <c r="F810"/>
      <c r="G810"/>
      <c r="H810"/>
      <c r="I810"/>
      <c r="J810"/>
      <c r="K810"/>
      <c r="L810"/>
    </row>
    <row r="811" spans="1:12">
      <c r="A811"/>
      <c r="B811"/>
      <c r="C811"/>
      <c r="D811"/>
      <c r="E811"/>
      <c r="F811"/>
      <c r="G811"/>
      <c r="H811"/>
      <c r="I811"/>
      <c r="J811"/>
      <c r="K811"/>
      <c r="L811"/>
    </row>
    <row r="812" spans="1:12">
      <c r="A812"/>
      <c r="B812"/>
      <c r="C812"/>
      <c r="D812"/>
      <c r="E812"/>
      <c r="F812"/>
      <c r="G812"/>
      <c r="H812"/>
      <c r="I812"/>
      <c r="J812"/>
      <c r="K812"/>
      <c r="L812"/>
    </row>
    <row r="813" spans="1:12">
      <c r="A813"/>
      <c r="B813"/>
      <c r="C813"/>
      <c r="D813"/>
      <c r="E813"/>
      <c r="F813"/>
      <c r="G813"/>
      <c r="H813"/>
      <c r="I813"/>
      <c r="J813"/>
      <c r="K813"/>
      <c r="L813"/>
    </row>
    <row r="814" spans="1:12">
      <c r="A814"/>
      <c r="B814"/>
      <c r="C814"/>
      <c r="D814"/>
      <c r="E814"/>
      <c r="F814"/>
      <c r="G814"/>
      <c r="H814"/>
      <c r="I814"/>
      <c r="J814"/>
      <c r="K814"/>
      <c r="L814"/>
    </row>
    <row r="815" spans="1:12">
      <c r="A815"/>
      <c r="B815"/>
      <c r="C815"/>
      <c r="D815"/>
      <c r="E815"/>
      <c r="F815"/>
      <c r="G815"/>
      <c r="H815"/>
      <c r="I815"/>
      <c r="J815"/>
      <c r="K815"/>
      <c r="L815"/>
    </row>
    <row r="816" spans="1:12">
      <c r="A816"/>
      <c r="B816"/>
      <c r="C816"/>
      <c r="D816"/>
      <c r="E816"/>
      <c r="F816"/>
      <c r="G816"/>
      <c r="H816"/>
      <c r="I816"/>
      <c r="J816"/>
      <c r="K816"/>
      <c r="L816"/>
    </row>
    <row r="817" spans="1:12">
      <c r="A817"/>
      <c r="B817"/>
      <c r="C817"/>
      <c r="D817"/>
      <c r="E817"/>
      <c r="F817"/>
      <c r="G817"/>
      <c r="H817"/>
      <c r="I817"/>
      <c r="J817"/>
      <c r="K817"/>
      <c r="L817"/>
    </row>
    <row r="818" spans="1:12">
      <c r="A818"/>
      <c r="B818"/>
      <c r="C818"/>
      <c r="D818"/>
      <c r="E818"/>
      <c r="F818"/>
      <c r="G818"/>
      <c r="H818"/>
      <c r="I818"/>
      <c r="J818"/>
      <c r="K818"/>
      <c r="L818"/>
    </row>
    <row r="819" spans="1:12">
      <c r="A819"/>
      <c r="B819"/>
      <c r="C819"/>
      <c r="D819"/>
      <c r="E819"/>
      <c r="F819"/>
      <c r="G819"/>
      <c r="H819"/>
      <c r="I819"/>
      <c r="J819"/>
      <c r="K819"/>
      <c r="L819"/>
    </row>
    <row r="820" spans="1:12">
      <c r="A820"/>
      <c r="B820"/>
      <c r="C820"/>
      <c r="D820"/>
      <c r="E820"/>
      <c r="F820"/>
      <c r="G820"/>
      <c r="H820"/>
      <c r="I820"/>
      <c r="J820"/>
      <c r="K820"/>
      <c r="L820"/>
    </row>
    <row r="821" spans="1:12">
      <c r="A821"/>
      <c r="B821"/>
      <c r="C821"/>
      <c r="D821"/>
      <c r="E821"/>
      <c r="F821"/>
      <c r="G821"/>
      <c r="H821"/>
      <c r="I821"/>
      <c r="J821"/>
      <c r="K821"/>
      <c r="L821"/>
    </row>
    <row r="822" spans="1:12">
      <c r="A822"/>
      <c r="B822"/>
      <c r="C822"/>
      <c r="D822"/>
      <c r="E822"/>
      <c r="F822"/>
      <c r="G822"/>
      <c r="H822"/>
      <c r="I822"/>
      <c r="J822"/>
      <c r="K822"/>
      <c r="L822"/>
    </row>
    <row r="823" spans="1:12">
      <c r="A823"/>
      <c r="B823"/>
      <c r="C823"/>
      <c r="D823"/>
      <c r="E823"/>
      <c r="F823"/>
      <c r="G823"/>
      <c r="H823"/>
      <c r="I823"/>
      <c r="J823"/>
      <c r="K823"/>
      <c r="L823"/>
    </row>
    <row r="824" spans="1:12">
      <c r="A824"/>
      <c r="B824"/>
      <c r="C824"/>
      <c r="D824"/>
      <c r="E824"/>
      <c r="F824"/>
      <c r="G824"/>
      <c r="H824"/>
      <c r="I824"/>
      <c r="J824"/>
      <c r="K824"/>
      <c r="L824"/>
    </row>
    <row r="825" spans="1:12">
      <c r="A825"/>
      <c r="B825"/>
      <c r="C825"/>
      <c r="D825"/>
      <c r="E825"/>
      <c r="F825"/>
      <c r="G825"/>
      <c r="H825"/>
      <c r="I825"/>
      <c r="J825"/>
      <c r="K825"/>
      <c r="L825"/>
    </row>
    <row r="826" spans="1:12">
      <c r="A826"/>
      <c r="B826"/>
      <c r="C826"/>
      <c r="D826"/>
      <c r="E826"/>
      <c r="F826"/>
      <c r="G826"/>
      <c r="H826"/>
      <c r="I826"/>
      <c r="J826"/>
      <c r="K826"/>
      <c r="L826"/>
    </row>
    <row r="827" spans="1:12">
      <c r="A827"/>
      <c r="B827"/>
      <c r="C827"/>
      <c r="D827"/>
      <c r="E827"/>
      <c r="F827"/>
      <c r="G827"/>
      <c r="H827"/>
      <c r="I827"/>
      <c r="J827"/>
      <c r="K827"/>
      <c r="L827"/>
    </row>
    <row r="828" spans="1:12">
      <c r="A828"/>
      <c r="B828"/>
      <c r="C828"/>
      <c r="D828"/>
      <c r="E828"/>
      <c r="F828"/>
      <c r="G828"/>
      <c r="H828"/>
      <c r="I828"/>
      <c r="J828"/>
      <c r="K828"/>
      <c r="L828"/>
    </row>
    <row r="829" spans="1:12">
      <c r="A829"/>
      <c r="B829"/>
      <c r="C829"/>
      <c r="D829"/>
      <c r="E829"/>
      <c r="F829"/>
      <c r="G829"/>
      <c r="H829"/>
      <c r="I829"/>
      <c r="J829"/>
      <c r="K829"/>
      <c r="L829"/>
    </row>
    <row r="830" spans="1:12">
      <c r="A830"/>
      <c r="B830"/>
      <c r="C830"/>
      <c r="D830"/>
      <c r="E830"/>
      <c r="F830"/>
      <c r="G830"/>
      <c r="H830"/>
      <c r="I830"/>
      <c r="J830"/>
      <c r="K830"/>
      <c r="L830"/>
    </row>
    <row r="831" spans="1:12">
      <c r="A831"/>
      <c r="B831"/>
      <c r="C831"/>
      <c r="D831"/>
      <c r="E831"/>
      <c r="F831"/>
      <c r="G831"/>
      <c r="H831"/>
      <c r="I831"/>
      <c r="J831"/>
      <c r="K831"/>
      <c r="L831"/>
    </row>
    <row r="832" spans="1:12">
      <c r="A832"/>
      <c r="B832"/>
      <c r="C832"/>
      <c r="D832"/>
      <c r="E832"/>
      <c r="F832"/>
      <c r="G832"/>
      <c r="H832"/>
      <c r="I832"/>
      <c r="J832"/>
      <c r="K832"/>
      <c r="L832"/>
    </row>
    <row r="833" spans="1:12">
      <c r="A833"/>
      <c r="B833"/>
      <c r="C833"/>
      <c r="D833"/>
      <c r="E833"/>
      <c r="F833"/>
      <c r="G833"/>
      <c r="H833"/>
      <c r="I833"/>
      <c r="J833"/>
      <c r="K833"/>
      <c r="L833"/>
    </row>
    <row r="834" spans="1:12">
      <c r="A834"/>
      <c r="B834"/>
      <c r="C834"/>
      <c r="D834"/>
      <c r="E834"/>
      <c r="F834"/>
      <c r="G834"/>
      <c r="H834"/>
      <c r="I834"/>
      <c r="J834"/>
      <c r="K834"/>
      <c r="L834"/>
    </row>
    <row r="835" spans="1:12">
      <c r="A835"/>
      <c r="B835"/>
      <c r="C835"/>
      <c r="D835"/>
      <c r="E835"/>
      <c r="F835"/>
      <c r="G835"/>
      <c r="H835"/>
      <c r="I835"/>
      <c r="J835"/>
      <c r="K835"/>
      <c r="L835"/>
    </row>
    <row r="836" spans="1:12">
      <c r="A836"/>
      <c r="B836"/>
      <c r="C836"/>
      <c r="D836"/>
      <c r="E836"/>
      <c r="F836"/>
      <c r="G836"/>
      <c r="H836"/>
      <c r="I836"/>
      <c r="J836"/>
      <c r="K836"/>
      <c r="L836"/>
    </row>
    <row r="837" spans="1:12">
      <c r="A837"/>
      <c r="B837"/>
      <c r="C837"/>
      <c r="D837"/>
      <c r="E837"/>
      <c r="F837"/>
      <c r="G837"/>
      <c r="H837"/>
      <c r="I837"/>
      <c r="J837"/>
      <c r="K837"/>
      <c r="L837"/>
    </row>
    <row r="838" spans="1:12">
      <c r="A838"/>
      <c r="B838"/>
      <c r="C838"/>
      <c r="D838"/>
      <c r="E838"/>
      <c r="F838"/>
      <c r="G838"/>
      <c r="H838"/>
      <c r="I838"/>
      <c r="J838"/>
      <c r="K838"/>
      <c r="L838"/>
    </row>
    <row r="839" spans="1:12">
      <c r="A839"/>
      <c r="B839"/>
      <c r="C839"/>
      <c r="D839"/>
      <c r="E839"/>
      <c r="F839"/>
      <c r="G839"/>
      <c r="H839"/>
      <c r="I839"/>
      <c r="J839"/>
      <c r="K839"/>
      <c r="L839"/>
    </row>
    <row r="840" spans="1:12">
      <c r="A840"/>
      <c r="B840"/>
      <c r="C840"/>
      <c r="D840"/>
      <c r="E840"/>
      <c r="F840"/>
      <c r="G840"/>
      <c r="H840"/>
      <c r="I840"/>
      <c r="J840"/>
      <c r="K840"/>
      <c r="L840"/>
    </row>
    <row r="841" spans="1:12">
      <c r="A841"/>
      <c r="B841"/>
      <c r="C841"/>
      <c r="D841"/>
      <c r="E841"/>
      <c r="F841"/>
      <c r="G841"/>
      <c r="H841"/>
      <c r="I841"/>
      <c r="J841"/>
      <c r="K841"/>
      <c r="L841"/>
    </row>
    <row r="842" spans="1:12">
      <c r="A842"/>
      <c r="B842"/>
      <c r="C842"/>
      <c r="D842"/>
      <c r="E842"/>
      <c r="F842"/>
      <c r="G842"/>
      <c r="H842"/>
      <c r="I842"/>
      <c r="J842"/>
      <c r="K842"/>
      <c r="L842"/>
    </row>
    <row r="843" spans="1:12">
      <c r="A843"/>
      <c r="B843"/>
      <c r="C843"/>
      <c r="D843"/>
      <c r="E843"/>
      <c r="F843"/>
      <c r="G843"/>
      <c r="H843"/>
      <c r="I843"/>
      <c r="J843"/>
      <c r="K843"/>
      <c r="L843"/>
    </row>
    <row r="844" spans="1:12">
      <c r="A844"/>
      <c r="B844"/>
      <c r="C844"/>
      <c r="D844"/>
      <c r="E844"/>
      <c r="F844"/>
      <c r="G844"/>
      <c r="H844"/>
      <c r="I844"/>
      <c r="J844"/>
      <c r="K844"/>
      <c r="L844"/>
    </row>
    <row r="845" spans="1:12">
      <c r="A845"/>
      <c r="B845"/>
      <c r="C845"/>
      <c r="D845"/>
      <c r="E845"/>
      <c r="F845"/>
      <c r="G845"/>
      <c r="H845"/>
      <c r="I845"/>
      <c r="J845"/>
      <c r="K845"/>
      <c r="L845"/>
    </row>
    <row r="846" spans="1:12">
      <c r="A846"/>
      <c r="B846"/>
      <c r="C846"/>
      <c r="D846"/>
      <c r="E846"/>
      <c r="F846"/>
      <c r="G846"/>
      <c r="H846"/>
      <c r="I846"/>
      <c r="J846"/>
      <c r="K846"/>
      <c r="L846"/>
    </row>
    <row r="847" spans="1:12">
      <c r="A847"/>
      <c r="B847"/>
      <c r="C847"/>
      <c r="D847"/>
      <c r="E847"/>
      <c r="F847"/>
      <c r="G847"/>
      <c r="H847"/>
      <c r="I847"/>
      <c r="J847"/>
      <c r="K847"/>
      <c r="L847"/>
    </row>
    <row r="848" spans="1:12">
      <c r="A848"/>
      <c r="B848"/>
      <c r="C848"/>
      <c r="D848"/>
      <c r="E848"/>
      <c r="F848"/>
      <c r="G848"/>
      <c r="H848"/>
      <c r="I848"/>
      <c r="J848"/>
      <c r="K848"/>
      <c r="L848"/>
    </row>
    <row r="849" spans="1:12">
      <c r="A849"/>
      <c r="B849"/>
      <c r="C849"/>
      <c r="D849"/>
      <c r="E849"/>
      <c r="F849"/>
      <c r="G849"/>
      <c r="H849"/>
      <c r="I849"/>
      <c r="J849"/>
      <c r="K849"/>
      <c r="L849"/>
    </row>
    <row r="850" spans="1:12">
      <c r="A850"/>
      <c r="B850"/>
      <c r="C850"/>
      <c r="D850"/>
      <c r="E850"/>
      <c r="F850"/>
      <c r="G850"/>
      <c r="H850"/>
      <c r="I850"/>
      <c r="J850"/>
      <c r="K850"/>
      <c r="L850"/>
    </row>
    <row r="851" spans="1:12">
      <c r="A851"/>
      <c r="B851"/>
      <c r="C851"/>
      <c r="D851"/>
      <c r="E851"/>
      <c r="F851"/>
      <c r="G851"/>
      <c r="H851"/>
      <c r="I851"/>
      <c r="J851"/>
      <c r="K851"/>
      <c r="L851"/>
    </row>
    <row r="852" spans="1:12">
      <c r="A852"/>
      <c r="B852"/>
      <c r="C852"/>
      <c r="D852"/>
      <c r="E852"/>
      <c r="F852"/>
      <c r="G852"/>
      <c r="H852"/>
      <c r="I852"/>
      <c r="J852"/>
      <c r="K852"/>
      <c r="L852"/>
    </row>
    <row r="853" spans="1:12">
      <c r="A853"/>
      <c r="B853"/>
      <c r="C853"/>
      <c r="D853"/>
      <c r="E853"/>
      <c r="F853"/>
      <c r="G853"/>
      <c r="H853"/>
      <c r="I853"/>
      <c r="J853"/>
      <c r="K853"/>
      <c r="L853"/>
    </row>
    <row r="854" spans="1:12">
      <c r="A854"/>
      <c r="B854"/>
      <c r="C854"/>
      <c r="D854"/>
      <c r="E854"/>
      <c r="F854"/>
      <c r="G854"/>
      <c r="H854"/>
      <c r="I854"/>
      <c r="J854"/>
      <c r="K854"/>
      <c r="L854"/>
    </row>
    <row r="855" spans="1:12">
      <c r="A855"/>
      <c r="B855"/>
      <c r="C855"/>
      <c r="D855"/>
      <c r="E855"/>
      <c r="F855"/>
      <c r="G855"/>
      <c r="H855"/>
      <c r="I855"/>
      <c r="J855"/>
      <c r="K855"/>
      <c r="L855"/>
    </row>
    <row r="856" spans="1:12">
      <c r="A856"/>
      <c r="B856"/>
      <c r="C856"/>
      <c r="D856"/>
      <c r="E856"/>
      <c r="F856"/>
      <c r="G856"/>
      <c r="H856"/>
      <c r="I856"/>
      <c r="J856"/>
      <c r="K856"/>
      <c r="L856"/>
    </row>
    <row r="857" spans="1:12">
      <c r="A857"/>
      <c r="B857"/>
      <c r="C857"/>
      <c r="D857"/>
      <c r="E857"/>
      <c r="F857"/>
      <c r="G857"/>
      <c r="H857"/>
      <c r="I857"/>
      <c r="J857"/>
      <c r="K857"/>
      <c r="L857"/>
    </row>
    <row r="858" spans="1:12">
      <c r="A858"/>
      <c r="B858"/>
      <c r="C858"/>
      <c r="D858"/>
      <c r="E858"/>
      <c r="F858"/>
      <c r="G858"/>
      <c r="H858"/>
      <c r="I858"/>
      <c r="J858"/>
      <c r="K858"/>
      <c r="L858"/>
    </row>
    <row r="859" spans="1:12">
      <c r="A859"/>
      <c r="B859"/>
      <c r="C859"/>
      <c r="D859"/>
      <c r="E859"/>
      <c r="F859"/>
      <c r="G859"/>
      <c r="H859"/>
      <c r="I859"/>
      <c r="J859"/>
      <c r="K859"/>
      <c r="L859"/>
    </row>
    <row r="860" spans="1:12">
      <c r="A860"/>
      <c r="B860"/>
      <c r="C860"/>
      <c r="D860"/>
      <c r="E860"/>
      <c r="F860"/>
      <c r="G860"/>
      <c r="H860"/>
      <c r="I860"/>
      <c r="J860"/>
      <c r="K860"/>
      <c r="L860"/>
    </row>
    <row r="861" spans="1:12">
      <c r="A861"/>
      <c r="B861"/>
      <c r="C861"/>
      <c r="D861"/>
      <c r="E861"/>
      <c r="F861"/>
      <c r="G861"/>
      <c r="H861"/>
      <c r="I861"/>
      <c r="J861"/>
      <c r="K861"/>
      <c r="L861"/>
    </row>
    <row r="862" spans="1:12">
      <c r="A862"/>
      <c r="B862"/>
      <c r="C862"/>
      <c r="D862"/>
      <c r="E862"/>
      <c r="F862"/>
      <c r="G862"/>
      <c r="H862"/>
      <c r="I862"/>
      <c r="J862"/>
      <c r="K862"/>
      <c r="L862"/>
    </row>
    <row r="863" spans="1:12">
      <c r="A863"/>
      <c r="B863"/>
      <c r="C863"/>
      <c r="D863"/>
      <c r="E863"/>
      <c r="F863"/>
      <c r="G863"/>
      <c r="H863"/>
      <c r="I863"/>
      <c r="J863"/>
      <c r="K863"/>
      <c r="L863"/>
    </row>
    <row r="864" spans="1:12">
      <c r="A864"/>
      <c r="B864"/>
      <c r="C864"/>
      <c r="D864"/>
      <c r="E864"/>
      <c r="F864"/>
      <c r="G864"/>
      <c r="H864"/>
      <c r="I864"/>
      <c r="J864"/>
      <c r="K864"/>
      <c r="L864"/>
    </row>
    <row r="865" spans="1:12">
      <c r="A865"/>
      <c r="B865"/>
      <c r="C865"/>
      <c r="D865"/>
      <c r="E865"/>
      <c r="F865"/>
      <c r="G865"/>
      <c r="H865"/>
      <c r="I865"/>
      <c r="J865"/>
      <c r="K865"/>
      <c r="L865"/>
    </row>
    <row r="866" spans="1:12">
      <c r="A866"/>
      <c r="B866"/>
      <c r="C866"/>
      <c r="D866"/>
      <c r="E866"/>
      <c r="F866"/>
      <c r="G866"/>
      <c r="H866"/>
      <c r="I866"/>
      <c r="J866"/>
      <c r="K866"/>
      <c r="L866"/>
    </row>
    <row r="867" spans="1:12">
      <c r="A867"/>
      <c r="B867"/>
      <c r="C867"/>
      <c r="D867"/>
      <c r="E867"/>
      <c r="F867"/>
      <c r="G867"/>
      <c r="H867"/>
      <c r="I867"/>
      <c r="J867"/>
      <c r="K867"/>
      <c r="L867"/>
    </row>
    <row r="868" spans="1:12">
      <c r="A868"/>
      <c r="B868"/>
      <c r="C868"/>
      <c r="D868"/>
      <c r="E868"/>
      <c r="F868"/>
      <c r="G868"/>
      <c r="H868"/>
      <c r="I868"/>
      <c r="J868"/>
      <c r="K868"/>
      <c r="L868"/>
    </row>
    <row r="869" spans="1:12">
      <c r="A869"/>
      <c r="B869"/>
      <c r="C869"/>
      <c r="D869"/>
      <c r="E869"/>
      <c r="F869"/>
      <c r="G869"/>
      <c r="H869"/>
      <c r="I869"/>
      <c r="J869"/>
      <c r="K869"/>
      <c r="L869"/>
    </row>
    <row r="870" spans="1:12">
      <c r="A870"/>
      <c r="B870"/>
      <c r="C870"/>
      <c r="D870"/>
      <c r="E870"/>
      <c r="F870"/>
      <c r="G870"/>
      <c r="H870"/>
      <c r="I870"/>
      <c r="J870"/>
      <c r="K870"/>
      <c r="L870"/>
    </row>
    <row r="871" spans="1:12">
      <c r="A871"/>
      <c r="B871"/>
      <c r="C871"/>
      <c r="D871"/>
      <c r="E871"/>
      <c r="F871"/>
      <c r="G871"/>
      <c r="H871"/>
      <c r="I871"/>
      <c r="J871"/>
      <c r="K871"/>
      <c r="L871"/>
    </row>
    <row r="872" spans="1:12">
      <c r="A872"/>
      <c r="B872"/>
      <c r="C872"/>
      <c r="D872"/>
      <c r="E872"/>
      <c r="F872"/>
      <c r="G872"/>
      <c r="H872"/>
      <c r="I872"/>
      <c r="J872"/>
      <c r="K872"/>
      <c r="L872"/>
    </row>
    <row r="873" spans="1:12">
      <c r="A873"/>
      <c r="B873"/>
      <c r="C873"/>
      <c r="D873"/>
      <c r="E873"/>
      <c r="F873"/>
      <c r="G873"/>
      <c r="H873"/>
      <c r="I873"/>
      <c r="J873"/>
      <c r="K873"/>
      <c r="L873"/>
    </row>
    <row r="874" spans="1:12">
      <c r="A874"/>
      <c r="B874"/>
      <c r="C874"/>
      <c r="D874"/>
      <c r="E874"/>
      <c r="F874"/>
      <c r="G874"/>
      <c r="H874"/>
      <c r="I874"/>
      <c r="J874"/>
      <c r="K874"/>
      <c r="L874"/>
    </row>
    <row r="875" spans="1:12">
      <c r="A875"/>
      <c r="B875"/>
      <c r="C875"/>
      <c r="D875"/>
      <c r="E875"/>
      <c r="F875"/>
      <c r="G875"/>
      <c r="H875"/>
      <c r="I875"/>
      <c r="J875"/>
      <c r="K875"/>
      <c r="L875"/>
    </row>
    <row r="876" spans="1:12">
      <c r="A876"/>
      <c r="B876"/>
      <c r="C876"/>
      <c r="D876"/>
      <c r="E876"/>
      <c r="F876"/>
      <c r="G876"/>
      <c r="H876"/>
      <c r="I876"/>
      <c r="J876"/>
      <c r="K876"/>
      <c r="L876"/>
    </row>
    <row r="877" spans="1:12">
      <c r="A877"/>
      <c r="B877"/>
      <c r="C877"/>
      <c r="D877"/>
      <c r="E877"/>
      <c r="F877"/>
      <c r="G877"/>
      <c r="H877"/>
      <c r="I877"/>
      <c r="J877"/>
      <c r="K877"/>
      <c r="L877"/>
    </row>
    <row r="878" spans="1:12">
      <c r="A878"/>
      <c r="B878"/>
      <c r="C878"/>
      <c r="D878"/>
      <c r="E878"/>
      <c r="F878"/>
      <c r="G878"/>
      <c r="H878"/>
      <c r="I878"/>
      <c r="J878"/>
      <c r="K878"/>
      <c r="L878"/>
    </row>
    <row r="879" spans="1:12">
      <c r="A879"/>
      <c r="B879"/>
      <c r="C879"/>
      <c r="D879"/>
      <c r="E879"/>
      <c r="F879"/>
      <c r="G879"/>
      <c r="H879"/>
      <c r="I879"/>
      <c r="J879"/>
      <c r="K879"/>
      <c r="L879"/>
    </row>
    <row r="880" spans="1:12">
      <c r="A880"/>
      <c r="B880"/>
      <c r="C880"/>
      <c r="D880"/>
      <c r="E880"/>
      <c r="F880"/>
      <c r="G880"/>
      <c r="H880"/>
      <c r="I880"/>
      <c r="J880"/>
      <c r="K880"/>
      <c r="L880"/>
    </row>
    <row r="881" spans="1:12">
      <c r="A881"/>
      <c r="B881"/>
      <c r="C881"/>
      <c r="D881"/>
      <c r="E881"/>
      <c r="F881"/>
      <c r="G881"/>
      <c r="H881"/>
      <c r="I881"/>
      <c r="J881"/>
      <c r="K881"/>
      <c r="L881"/>
    </row>
    <row r="882" spans="1:12">
      <c r="A882"/>
      <c r="B882"/>
      <c r="C882"/>
      <c r="D882"/>
      <c r="E882"/>
      <c r="F882"/>
      <c r="G882"/>
      <c r="H882"/>
      <c r="I882"/>
      <c r="J882"/>
      <c r="K882"/>
      <c r="L882"/>
    </row>
    <row r="883" spans="1:12">
      <c r="A883"/>
      <c r="B883"/>
      <c r="C883"/>
      <c r="D883"/>
      <c r="E883"/>
      <c r="F883"/>
      <c r="G883"/>
      <c r="H883"/>
      <c r="I883"/>
      <c r="J883"/>
      <c r="K883"/>
      <c r="L883"/>
    </row>
    <row r="884" spans="1:12">
      <c r="A884"/>
      <c r="B884"/>
      <c r="C884"/>
      <c r="D884"/>
      <c r="E884"/>
      <c r="F884"/>
      <c r="G884"/>
      <c r="H884"/>
      <c r="I884"/>
      <c r="J884"/>
      <c r="K884"/>
      <c r="L884"/>
    </row>
    <row r="885" spans="1:12">
      <c r="A885"/>
      <c r="B885"/>
      <c r="C885"/>
      <c r="D885"/>
      <c r="E885"/>
      <c r="F885"/>
      <c r="G885"/>
      <c r="H885"/>
      <c r="I885"/>
      <c r="J885"/>
      <c r="K885"/>
      <c r="L885"/>
    </row>
    <row r="886" spans="1:12">
      <c r="A886"/>
      <c r="B886"/>
      <c r="C886"/>
      <c r="D886"/>
      <c r="E886"/>
      <c r="F886"/>
      <c r="G886"/>
      <c r="H886"/>
      <c r="I886"/>
      <c r="J886"/>
      <c r="K886"/>
      <c r="L886"/>
    </row>
    <row r="887" spans="1:12">
      <c r="A887"/>
      <c r="B887"/>
      <c r="C887"/>
      <c r="D887"/>
      <c r="E887"/>
      <c r="F887"/>
      <c r="G887"/>
      <c r="H887"/>
      <c r="I887"/>
      <c r="J887"/>
      <c r="K887"/>
      <c r="L887"/>
    </row>
    <row r="888" spans="1:12">
      <c r="A888"/>
      <c r="B888"/>
      <c r="C888"/>
      <c r="D888"/>
      <c r="E888"/>
      <c r="F888"/>
      <c r="G888"/>
      <c r="H888"/>
      <c r="I888"/>
      <c r="J888"/>
      <c r="K888"/>
      <c r="L888"/>
    </row>
    <row r="889" spans="1:12">
      <c r="A889"/>
      <c r="B889"/>
      <c r="C889"/>
      <c r="D889"/>
      <c r="E889"/>
      <c r="F889"/>
      <c r="G889"/>
      <c r="H889"/>
      <c r="I889"/>
      <c r="J889"/>
      <c r="K889"/>
      <c r="L889"/>
    </row>
    <row r="890" spans="1:12">
      <c r="A890"/>
      <c r="B890"/>
      <c r="C890"/>
      <c r="D890"/>
      <c r="E890"/>
      <c r="F890"/>
      <c r="G890"/>
      <c r="H890"/>
      <c r="I890"/>
      <c r="J890"/>
      <c r="K890"/>
      <c r="L890"/>
    </row>
    <row r="891" spans="1:12">
      <c r="A891"/>
      <c r="B891"/>
      <c r="C891"/>
      <c r="D891"/>
      <c r="E891"/>
      <c r="F891"/>
      <c r="G891"/>
      <c r="H891"/>
      <c r="I891"/>
      <c r="J891"/>
      <c r="K891"/>
      <c r="L891"/>
    </row>
    <row r="892" spans="1:12">
      <c r="A892"/>
      <c r="B892"/>
      <c r="C892"/>
      <c r="D892"/>
      <c r="E892"/>
      <c r="F892"/>
      <c r="G892"/>
      <c r="H892"/>
      <c r="I892"/>
      <c r="J892"/>
      <c r="K892"/>
      <c r="L892"/>
    </row>
    <row r="893" spans="1:12">
      <c r="A893"/>
      <c r="B893"/>
      <c r="C893"/>
      <c r="D893"/>
      <c r="E893"/>
      <c r="F893"/>
      <c r="G893"/>
      <c r="H893"/>
      <c r="I893"/>
      <c r="J893"/>
      <c r="K893"/>
      <c r="L893"/>
    </row>
    <row r="894" spans="1:12">
      <c r="A894"/>
      <c r="B894"/>
      <c r="C894"/>
      <c r="D894"/>
      <c r="E894"/>
      <c r="F894"/>
      <c r="G894"/>
      <c r="H894"/>
      <c r="I894"/>
      <c r="J894"/>
      <c r="K894"/>
      <c r="L894"/>
    </row>
    <row r="895" spans="1:12">
      <c r="A895"/>
      <c r="B895"/>
      <c r="C895"/>
      <c r="D895"/>
      <c r="E895"/>
      <c r="F895"/>
      <c r="G895"/>
      <c r="H895"/>
      <c r="I895"/>
      <c r="J895"/>
      <c r="K895"/>
      <c r="L895"/>
    </row>
    <row r="896" spans="1:12">
      <c r="A896"/>
      <c r="B896"/>
      <c r="C896"/>
      <c r="D896"/>
      <c r="E896"/>
      <c r="F896"/>
      <c r="G896"/>
      <c r="H896"/>
      <c r="I896"/>
      <c r="J896"/>
      <c r="K896"/>
      <c r="L896"/>
    </row>
    <row r="897" spans="1:12">
      <c r="A897"/>
      <c r="B897"/>
      <c r="C897"/>
      <c r="D897"/>
      <c r="E897"/>
      <c r="F897"/>
      <c r="G897"/>
      <c r="H897"/>
      <c r="I897"/>
      <c r="J897"/>
      <c r="K897"/>
      <c r="L897"/>
    </row>
    <row r="898" spans="1:12">
      <c r="A898"/>
      <c r="B898"/>
      <c r="C898"/>
      <c r="D898"/>
      <c r="E898"/>
      <c r="F898"/>
      <c r="G898"/>
      <c r="H898"/>
      <c r="I898"/>
      <c r="J898"/>
      <c r="K898"/>
      <c r="L898"/>
    </row>
    <row r="899" spans="1:12">
      <c r="A899"/>
      <c r="B899"/>
      <c r="C899"/>
      <c r="D899"/>
      <c r="E899"/>
      <c r="F899"/>
      <c r="G899"/>
      <c r="H899"/>
      <c r="I899"/>
      <c r="J899"/>
      <c r="K899"/>
      <c r="L899"/>
    </row>
    <row r="900" spans="1:12">
      <c r="A900"/>
      <c r="B900"/>
      <c r="C900"/>
      <c r="D900"/>
      <c r="E900"/>
      <c r="F900"/>
      <c r="G900"/>
      <c r="H900"/>
      <c r="I900"/>
      <c r="J900"/>
      <c r="K900"/>
      <c r="L900"/>
    </row>
    <row r="901" spans="1:12">
      <c r="A901"/>
      <c r="B901"/>
      <c r="C901"/>
      <c r="D901"/>
      <c r="E901"/>
      <c r="F901"/>
      <c r="G901"/>
      <c r="H901"/>
      <c r="I901"/>
      <c r="J901"/>
      <c r="K901"/>
      <c r="L901"/>
    </row>
    <row r="902" spans="1:12">
      <c r="A902"/>
      <c r="B902"/>
      <c r="C902"/>
      <c r="D902"/>
      <c r="E902"/>
      <c r="F902"/>
      <c r="G902"/>
      <c r="H902"/>
      <c r="I902"/>
      <c r="J902"/>
      <c r="K902"/>
      <c r="L902"/>
    </row>
    <row r="903" spans="1:12">
      <c r="A903"/>
      <c r="B903"/>
      <c r="C903"/>
      <c r="D903"/>
      <c r="E903"/>
      <c r="F903"/>
      <c r="G903"/>
      <c r="H903"/>
      <c r="I903"/>
      <c r="J903"/>
      <c r="K903"/>
      <c r="L903"/>
    </row>
    <row r="904" spans="1:12">
      <c r="A904"/>
      <c r="B904"/>
      <c r="C904"/>
      <c r="D904"/>
      <c r="E904"/>
      <c r="F904"/>
      <c r="G904"/>
      <c r="H904"/>
      <c r="I904"/>
      <c r="J904"/>
      <c r="K904"/>
      <c r="L904"/>
    </row>
    <row r="905" spans="1:12">
      <c r="A905"/>
      <c r="B905"/>
      <c r="C905"/>
      <c r="D905"/>
      <c r="E905"/>
      <c r="F905"/>
      <c r="G905"/>
      <c r="H905"/>
      <c r="I905"/>
      <c r="J905"/>
      <c r="K905"/>
      <c r="L905"/>
    </row>
    <row r="906" spans="1:12">
      <c r="A906"/>
      <c r="B906"/>
      <c r="C906"/>
      <c r="D906"/>
      <c r="E906"/>
      <c r="F906"/>
      <c r="G906"/>
      <c r="H906"/>
      <c r="I906"/>
      <c r="J906"/>
      <c r="K906"/>
      <c r="L906"/>
    </row>
    <row r="907" spans="1:12">
      <c r="A907"/>
      <c r="B907"/>
      <c r="C907"/>
      <c r="D907"/>
      <c r="E907"/>
      <c r="F907"/>
      <c r="G907"/>
      <c r="H907"/>
      <c r="I907"/>
      <c r="J907"/>
      <c r="K907"/>
      <c r="L907"/>
    </row>
    <row r="908" spans="1:12">
      <c r="A908"/>
      <c r="B908"/>
      <c r="C908"/>
      <c r="D908"/>
      <c r="E908"/>
      <c r="F908"/>
      <c r="G908"/>
      <c r="H908"/>
      <c r="I908"/>
      <c r="J908"/>
      <c r="K908"/>
      <c r="L908"/>
    </row>
    <row r="909" spans="1:12">
      <c r="A909"/>
      <c r="B909"/>
      <c r="C909"/>
      <c r="D909"/>
      <c r="E909"/>
      <c r="F909"/>
      <c r="G909"/>
      <c r="H909"/>
      <c r="I909"/>
      <c r="J909"/>
      <c r="K909"/>
      <c r="L909"/>
    </row>
    <row r="910" spans="1:12">
      <c r="A910"/>
      <c r="B910"/>
      <c r="C910"/>
      <c r="D910"/>
      <c r="E910"/>
      <c r="F910"/>
      <c r="G910"/>
      <c r="H910"/>
      <c r="I910"/>
      <c r="J910"/>
      <c r="K910"/>
      <c r="L910"/>
    </row>
    <row r="911" spans="1:12">
      <c r="A911"/>
      <c r="B911"/>
      <c r="C911"/>
      <c r="D911"/>
      <c r="E911"/>
      <c r="F911"/>
      <c r="G911"/>
      <c r="H911"/>
      <c r="I911"/>
      <c r="J911"/>
      <c r="K911"/>
      <c r="L911"/>
    </row>
    <row r="912" spans="1:12">
      <c r="A912"/>
      <c r="B912"/>
      <c r="C912"/>
      <c r="D912"/>
      <c r="E912"/>
      <c r="F912"/>
      <c r="G912"/>
      <c r="H912"/>
      <c r="I912"/>
      <c r="J912"/>
      <c r="K912"/>
      <c r="L912"/>
    </row>
    <row r="913" spans="1:12">
      <c r="A913"/>
      <c r="B913"/>
      <c r="C913"/>
      <c r="D913"/>
      <c r="E913"/>
      <c r="F913"/>
      <c r="G913"/>
      <c r="H913"/>
      <c r="I913"/>
      <c r="J913"/>
      <c r="K913"/>
      <c r="L913"/>
    </row>
    <row r="914" spans="1:12">
      <c r="A914"/>
      <c r="B914"/>
      <c r="C914"/>
      <c r="D914"/>
      <c r="E914"/>
      <c r="F914"/>
      <c r="G914"/>
      <c r="H914"/>
      <c r="I914"/>
      <c r="J914"/>
      <c r="K914"/>
      <c r="L914"/>
    </row>
    <row r="915" spans="1:12">
      <c r="A915"/>
      <c r="B915"/>
      <c r="C915"/>
      <c r="D915"/>
      <c r="E915"/>
      <c r="F915"/>
      <c r="G915"/>
      <c r="H915"/>
      <c r="I915"/>
      <c r="J915"/>
      <c r="K915"/>
      <c r="L915"/>
    </row>
    <row r="916" spans="1:12">
      <c r="A916"/>
      <c r="B916"/>
      <c r="C916"/>
      <c r="D916"/>
      <c r="E916"/>
      <c r="F916"/>
      <c r="G916"/>
      <c r="H916"/>
      <c r="I916"/>
      <c r="J916"/>
      <c r="K916"/>
      <c r="L916"/>
    </row>
    <row r="917" spans="1:12">
      <c r="A917"/>
      <c r="B917"/>
      <c r="C917"/>
      <c r="D917"/>
      <c r="E917"/>
      <c r="F917"/>
      <c r="G917"/>
      <c r="H917"/>
      <c r="I917"/>
      <c r="J917"/>
      <c r="K917"/>
      <c r="L917"/>
    </row>
    <row r="918" spans="1:12">
      <c r="A918"/>
      <c r="B918"/>
      <c r="C918"/>
      <c r="D918"/>
      <c r="E918"/>
      <c r="F918"/>
      <c r="G918"/>
      <c r="H918"/>
      <c r="I918"/>
      <c r="J918"/>
      <c r="K918"/>
      <c r="L918"/>
    </row>
    <row r="919" spans="1:12">
      <c r="A919"/>
      <c r="B919"/>
      <c r="C919"/>
      <c r="D919"/>
      <c r="E919"/>
      <c r="F919"/>
      <c r="G919"/>
      <c r="H919"/>
      <c r="I919"/>
      <c r="J919"/>
      <c r="K919"/>
      <c r="L919"/>
    </row>
    <row r="920" spans="1:12">
      <c r="A920"/>
      <c r="B920"/>
      <c r="C920"/>
      <c r="D920"/>
      <c r="E920"/>
      <c r="F920"/>
      <c r="G920"/>
      <c r="H920"/>
      <c r="I920"/>
      <c r="J920"/>
      <c r="K920"/>
      <c r="L920"/>
    </row>
    <row r="921" spans="1:12">
      <c r="A921"/>
      <c r="B921"/>
      <c r="C921"/>
      <c r="D921"/>
      <c r="E921"/>
      <c r="F921"/>
      <c r="G921"/>
      <c r="H921"/>
      <c r="I921"/>
      <c r="J921"/>
      <c r="K921"/>
      <c r="L921"/>
    </row>
    <row r="922" spans="1:12">
      <c r="A922"/>
      <c r="B922"/>
      <c r="C922"/>
      <c r="D922"/>
      <c r="E922"/>
      <c r="F922"/>
      <c r="G922"/>
      <c r="H922"/>
      <c r="I922"/>
      <c r="J922"/>
      <c r="K922"/>
      <c r="L922"/>
    </row>
    <row r="923" spans="1:12">
      <c r="A923"/>
      <c r="B923"/>
      <c r="C923"/>
      <c r="D923"/>
      <c r="E923"/>
      <c r="F923"/>
      <c r="G923"/>
      <c r="H923"/>
      <c r="I923"/>
      <c r="J923"/>
      <c r="K923"/>
      <c r="L923"/>
    </row>
    <row r="924" spans="1:12">
      <c r="A924"/>
      <c r="B924"/>
      <c r="C924"/>
      <c r="D924"/>
      <c r="E924"/>
      <c r="F924"/>
      <c r="G924"/>
      <c r="H924"/>
      <c r="I924"/>
      <c r="J924"/>
      <c r="K924"/>
      <c r="L924"/>
    </row>
  </sheetData>
  <mergeCells count="39">
    <mergeCell ref="A3:L3"/>
    <mergeCell ref="B7:B8"/>
    <mergeCell ref="C7:C8"/>
    <mergeCell ref="D7:F8"/>
    <mergeCell ref="D9:F9"/>
    <mergeCell ref="D10:F10"/>
    <mergeCell ref="D11:F11"/>
    <mergeCell ref="D12:F12"/>
    <mergeCell ref="B49:C49"/>
    <mergeCell ref="D49:E49"/>
    <mergeCell ref="D13:F13"/>
    <mergeCell ref="D14:F14"/>
    <mergeCell ref="B41:L41"/>
    <mergeCell ref="B48:C48"/>
    <mergeCell ref="D48:E48"/>
    <mergeCell ref="B50:C50"/>
    <mergeCell ref="D50:E50"/>
    <mergeCell ref="B51:C51"/>
    <mergeCell ref="D51:E51"/>
    <mergeCell ref="B52:C52"/>
    <mergeCell ref="D52:E52"/>
    <mergeCell ref="B53:C53"/>
    <mergeCell ref="D53:E53"/>
    <mergeCell ref="B54:C54"/>
    <mergeCell ref="D54:E54"/>
    <mergeCell ref="B55:C55"/>
    <mergeCell ref="D55:E55"/>
    <mergeCell ref="B56:C56"/>
    <mergeCell ref="D56:E56"/>
    <mergeCell ref="B57:C57"/>
    <mergeCell ref="D57:E57"/>
    <mergeCell ref="B62:L62"/>
    <mergeCell ref="B72:L72"/>
    <mergeCell ref="B58:C58"/>
    <mergeCell ref="D58:E58"/>
    <mergeCell ref="B59:C59"/>
    <mergeCell ref="D59:E59"/>
    <mergeCell ref="B60:C60"/>
    <mergeCell ref="D60:E60"/>
  </mergeCells>
  <pageMargins left="0.7" right="0.7" top="0.75" bottom="0.75" header="0.3" footer="0.3"/>
  <pageSetup orientation="portrait" horizontalDpi="0"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7D95E-64EC-47D4-8136-E77CEB0F02F5}">
  <dimension ref="A1:BW207"/>
  <sheetViews>
    <sheetView topLeftCell="A34" zoomScaleNormal="100" workbookViewId="0">
      <selection activeCell="B38" sqref="B38"/>
    </sheetView>
  </sheetViews>
  <sheetFormatPr defaultColWidth="9.109375" defaultRowHeight="15.75" customHeight="1"/>
  <cols>
    <col min="1" max="1" width="10.33203125" style="1" customWidth="1"/>
    <col min="2" max="7" width="12.6640625" style="1" customWidth="1"/>
    <col min="8" max="11" width="10.33203125" style="1" customWidth="1"/>
    <col min="12" max="12" width="20.88671875" style="1" customWidth="1"/>
    <col min="13" max="13" width="9.109375" customWidth="1"/>
    <col min="76" max="16384" width="9.109375" style="1"/>
  </cols>
  <sheetData>
    <row r="1" spans="1:12" ht="15.75" customHeight="1">
      <c r="A1" s="23" t="s">
        <v>1472</v>
      </c>
      <c r="B1" s="22"/>
      <c r="C1" s="5" t="s">
        <v>38</v>
      </c>
      <c r="D1" s="19"/>
      <c r="E1" s="22"/>
      <c r="F1" s="22"/>
      <c r="G1" s="22"/>
      <c r="H1" s="22"/>
      <c r="I1" s="22"/>
      <c r="J1" s="22"/>
      <c r="K1" s="22"/>
      <c r="L1" s="2"/>
    </row>
    <row r="2" spans="1:12" ht="15.75" customHeight="1">
      <c r="A2" s="23"/>
      <c r="B2" s="22"/>
      <c r="C2" s="19"/>
      <c r="D2" s="19"/>
      <c r="E2" s="22"/>
      <c r="F2" s="22"/>
      <c r="G2" s="22"/>
      <c r="H2" s="22"/>
      <c r="I2" s="22"/>
      <c r="J2" s="22"/>
      <c r="K2" s="22"/>
      <c r="L2" s="2"/>
    </row>
    <row r="3" spans="1:12" ht="15.6">
      <c r="A3" s="1733" t="s">
        <v>2125</v>
      </c>
      <c r="B3" s="1766"/>
      <c r="C3" s="1766"/>
      <c r="D3" s="1766"/>
      <c r="E3" s="1766"/>
      <c r="F3" s="1766"/>
      <c r="G3" s="1766"/>
      <c r="H3" s="1766"/>
      <c r="I3" s="1766"/>
      <c r="J3" s="1766"/>
      <c r="K3" s="1766"/>
      <c r="L3" s="1766"/>
    </row>
    <row r="4" spans="1:12" ht="15.75" customHeight="1">
      <c r="A4" s="21"/>
      <c r="B4" s="3" t="s">
        <v>2124</v>
      </c>
      <c r="C4" s="13">
        <v>500000</v>
      </c>
      <c r="D4" s="163" t="s">
        <v>2123</v>
      </c>
      <c r="E4" s="13">
        <v>250000</v>
      </c>
      <c r="F4" s="3"/>
      <c r="G4" s="3"/>
      <c r="H4" s="3"/>
      <c r="I4" s="3"/>
      <c r="J4" s="162"/>
      <c r="K4" s="3"/>
      <c r="L4" s="2"/>
    </row>
    <row r="5" spans="1:12" ht="21" customHeight="1">
      <c r="A5" s="3" t="s">
        <v>1254</v>
      </c>
      <c r="B5" s="3"/>
      <c r="C5" s="3"/>
      <c r="D5" s="3"/>
      <c r="E5" s="3"/>
      <c r="F5" s="3"/>
      <c r="G5" s="3"/>
      <c r="H5" s="3"/>
      <c r="I5" s="3"/>
      <c r="J5" s="162"/>
      <c r="K5" s="3"/>
      <c r="L5" s="2"/>
    </row>
    <row r="6" spans="1:12" ht="31.5" customHeight="1">
      <c r="A6" s="3"/>
      <c r="B6" s="1924" t="s">
        <v>2122</v>
      </c>
      <c r="C6" s="1925"/>
      <c r="D6" s="1926"/>
      <c r="E6" s="3"/>
      <c r="F6" s="3"/>
      <c r="G6" s="3"/>
      <c r="H6" s="3"/>
      <c r="I6" s="3"/>
      <c r="J6" s="162"/>
      <c r="K6" s="3"/>
      <c r="L6" s="2"/>
    </row>
    <row r="7" spans="1:12" ht="31.2">
      <c r="A7" s="3"/>
      <c r="B7" s="18" t="s">
        <v>1904</v>
      </c>
      <c r="C7" s="18" t="s">
        <v>1903</v>
      </c>
      <c r="D7" s="18" t="s">
        <v>1902</v>
      </c>
      <c r="E7" s="3"/>
      <c r="F7" s="3"/>
      <c r="G7" s="3"/>
      <c r="H7" s="3"/>
      <c r="I7" s="3"/>
      <c r="J7" s="162"/>
      <c r="K7" s="3"/>
      <c r="L7" s="2"/>
    </row>
    <row r="8" spans="1:12" ht="21" customHeight="1">
      <c r="A8" s="3"/>
      <c r="B8" s="1285">
        <v>43647</v>
      </c>
      <c r="C8" s="13">
        <v>400000</v>
      </c>
      <c r="D8" s="13">
        <v>250000</v>
      </c>
      <c r="E8" s="3"/>
      <c r="F8" s="3"/>
      <c r="G8" s="3"/>
      <c r="H8" s="3"/>
      <c r="I8" s="3"/>
      <c r="J8" s="162"/>
      <c r="K8" s="3"/>
      <c r="L8" s="2"/>
    </row>
    <row r="9" spans="1:12" ht="15.75" customHeight="1">
      <c r="A9" s="3"/>
      <c r="B9" s="1285">
        <v>44013</v>
      </c>
      <c r="C9" s="13">
        <v>900000</v>
      </c>
      <c r="D9" s="13">
        <v>600000</v>
      </c>
      <c r="E9" s="3"/>
      <c r="F9" s="3"/>
      <c r="G9" s="3"/>
      <c r="H9" s="3"/>
      <c r="I9" s="3"/>
      <c r="J9" s="3"/>
      <c r="K9" s="3"/>
      <c r="L9" s="2"/>
    </row>
    <row r="10" spans="1:12" ht="15.75" customHeight="1">
      <c r="A10" s="3"/>
      <c r="B10" s="1285">
        <v>44378</v>
      </c>
      <c r="C10" s="13">
        <v>250000</v>
      </c>
      <c r="D10" s="13">
        <v>300000</v>
      </c>
      <c r="E10" s="3"/>
      <c r="F10" s="3"/>
      <c r="G10" s="3"/>
      <c r="H10" s="3"/>
      <c r="I10" s="3"/>
      <c r="J10" s="3"/>
      <c r="K10" s="3"/>
      <c r="L10" s="2"/>
    </row>
    <row r="11" spans="1:12" ht="15.75" customHeight="1">
      <c r="A11" s="3"/>
      <c r="B11" s="3"/>
      <c r="C11" s="3"/>
      <c r="D11" s="3"/>
      <c r="E11" s="3"/>
      <c r="F11" s="3"/>
      <c r="G11" s="3"/>
      <c r="H11" s="3"/>
      <c r="I11" s="3"/>
      <c r="J11" s="3"/>
      <c r="K11" s="3"/>
      <c r="L11" s="2"/>
    </row>
    <row r="12" spans="1:12" ht="15.75" customHeight="1">
      <c r="A12" s="3" t="s">
        <v>2121</v>
      </c>
      <c r="B12" s="3"/>
      <c r="C12" s="3"/>
      <c r="D12" s="3"/>
      <c r="E12" s="3"/>
      <c r="F12" s="3"/>
      <c r="G12" s="3"/>
      <c r="H12" s="3"/>
      <c r="I12" s="3"/>
      <c r="J12" s="3"/>
      <c r="K12" s="3"/>
      <c r="L12" s="2"/>
    </row>
    <row r="13" spans="1:12" ht="15.75" customHeight="1">
      <c r="A13" s="3" t="s">
        <v>2120</v>
      </c>
      <c r="B13" s="3"/>
      <c r="C13" s="3"/>
      <c r="D13" s="3"/>
      <c r="E13" s="3"/>
      <c r="F13" s="3"/>
      <c r="G13" s="3"/>
      <c r="H13" s="3"/>
      <c r="I13" s="3"/>
      <c r="J13" s="3"/>
      <c r="K13" s="10">
        <v>750000</v>
      </c>
      <c r="L13" s="281" t="s">
        <v>1965</v>
      </c>
    </row>
    <row r="14" spans="1:12" ht="15.75" customHeight="1">
      <c r="A14" s="3" t="s">
        <v>2119</v>
      </c>
      <c r="B14" s="162"/>
      <c r="C14" s="1260"/>
      <c r="D14" s="1225"/>
      <c r="E14" s="3"/>
      <c r="F14" s="3"/>
      <c r="G14" s="3"/>
      <c r="H14" s="3"/>
      <c r="I14" s="3"/>
      <c r="J14" s="3"/>
      <c r="K14" s="10">
        <v>4000000</v>
      </c>
      <c r="L14" s="281" t="s">
        <v>2118</v>
      </c>
    </row>
    <row r="15" spans="1:12" ht="15.75" customHeight="1">
      <c r="A15" s="3" t="s">
        <v>2117</v>
      </c>
      <c r="B15" s="162"/>
      <c r="C15" s="1260"/>
      <c r="D15" s="1225"/>
      <c r="E15" s="3"/>
      <c r="F15" s="3"/>
      <c r="G15" s="3"/>
      <c r="H15" s="3"/>
      <c r="I15" s="3"/>
      <c r="J15" s="3"/>
      <c r="K15" s="3"/>
      <c r="L15" s="281"/>
    </row>
    <row r="16" spans="1:12" ht="15.75" customHeight="1">
      <c r="A16" s="3" t="s">
        <v>2116</v>
      </c>
      <c r="B16" s="1284"/>
      <c r="C16" s="1284"/>
      <c r="D16" s="1284"/>
      <c r="E16" s="1284"/>
      <c r="F16" s="3"/>
      <c r="G16" s="3"/>
      <c r="H16" s="3"/>
      <c r="I16" s="3"/>
      <c r="J16" s="3"/>
      <c r="K16" s="1278">
        <v>0.05</v>
      </c>
      <c r="L16" s="281" t="s">
        <v>1750</v>
      </c>
    </row>
    <row r="17" spans="1:75" ht="15.75" customHeight="1">
      <c r="A17" s="3" t="s">
        <v>2115</v>
      </c>
      <c r="B17" s="1284"/>
      <c r="C17" s="1284"/>
      <c r="D17" s="1284"/>
      <c r="E17" s="1284"/>
      <c r="F17" s="3"/>
      <c r="G17" s="3"/>
      <c r="H17" s="3"/>
      <c r="I17" s="3"/>
      <c r="J17" s="3"/>
      <c r="K17" s="1278">
        <v>0.15</v>
      </c>
      <c r="L17" s="281" t="s">
        <v>2114</v>
      </c>
    </row>
    <row r="18" spans="1:75" ht="15.75" customHeight="1">
      <c r="A18" s="3"/>
      <c r="B18" s="49"/>
      <c r="C18" s="49"/>
      <c r="D18" s="49"/>
      <c r="E18" s="49"/>
      <c r="F18" s="3"/>
      <c r="G18" s="3"/>
      <c r="H18" s="3"/>
      <c r="I18" s="3"/>
      <c r="J18" s="3"/>
      <c r="K18" s="3"/>
      <c r="L18" s="3"/>
    </row>
    <row r="19" spans="1:75" ht="15.75" customHeight="1">
      <c r="A19" s="3" t="s">
        <v>2113</v>
      </c>
      <c r="B19" s="49"/>
      <c r="C19" s="49"/>
      <c r="D19" s="49"/>
      <c r="E19" s="49"/>
      <c r="F19" s="3"/>
      <c r="G19" s="3"/>
      <c r="H19" s="3"/>
      <c r="I19" s="3"/>
      <c r="J19" s="3"/>
      <c r="K19" s="3"/>
      <c r="L19" s="3"/>
    </row>
    <row r="20" spans="1:75" ht="15.75" customHeight="1">
      <c r="A20" s="3"/>
      <c r="B20" s="470" t="s">
        <v>1913</v>
      </c>
      <c r="C20" s="1266">
        <v>2.2999999999999998</v>
      </c>
      <c r="D20" s="49"/>
      <c r="E20" s="49"/>
      <c r="F20" s="3"/>
      <c r="G20" s="3"/>
      <c r="H20" s="3"/>
      <c r="I20" s="3"/>
      <c r="J20" s="3"/>
      <c r="K20" s="3"/>
      <c r="L20" s="3"/>
    </row>
    <row r="21" spans="1:75" ht="15.75" customHeight="1">
      <c r="A21" s="3"/>
      <c r="B21" s="470" t="s">
        <v>1912</v>
      </c>
      <c r="C21" s="1266">
        <v>1.35</v>
      </c>
      <c r="D21" s="1225"/>
      <c r="E21" s="3"/>
      <c r="F21" s="3"/>
      <c r="G21" s="3"/>
      <c r="H21" s="3"/>
      <c r="I21" s="3"/>
      <c r="J21" s="3"/>
      <c r="K21" s="3"/>
      <c r="L21" s="3"/>
    </row>
    <row r="22" spans="1:75" ht="15.75" customHeight="1">
      <c r="A22" s="3"/>
      <c r="B22" s="470" t="s">
        <v>1911</v>
      </c>
      <c r="C22" s="1266">
        <v>1.1000000000000001</v>
      </c>
      <c r="D22" s="1225"/>
      <c r="E22" s="3"/>
      <c r="F22" s="3"/>
      <c r="G22" s="3"/>
      <c r="H22" s="3"/>
      <c r="I22" s="3"/>
      <c r="J22" s="3"/>
      <c r="K22" s="3"/>
      <c r="L22" s="2"/>
    </row>
    <row r="23" spans="1:75" ht="15.75" customHeight="1">
      <c r="A23" s="3"/>
      <c r="B23" s="162"/>
      <c r="C23" s="1260"/>
      <c r="D23" s="1225"/>
      <c r="E23" s="3"/>
      <c r="F23" s="3"/>
      <c r="G23" s="3"/>
      <c r="H23" s="3"/>
      <c r="I23" s="3"/>
      <c r="J23" s="3"/>
      <c r="K23" s="3"/>
      <c r="L23" s="2"/>
    </row>
    <row r="24" spans="1:75" ht="15.75" customHeight="1">
      <c r="A24" s="3" t="s">
        <v>80</v>
      </c>
      <c r="B24" s="3" t="s">
        <v>2112</v>
      </c>
      <c r="C24" s="3"/>
      <c r="D24" s="3"/>
      <c r="E24" s="3"/>
      <c r="F24" s="3"/>
      <c r="G24" s="3"/>
      <c r="H24" s="3"/>
      <c r="I24" s="3"/>
      <c r="J24" s="3"/>
      <c r="K24" s="3"/>
      <c r="L24" s="2"/>
    </row>
    <row r="25" spans="1:75" ht="15.75" customHeight="1">
      <c r="A25" s="5"/>
      <c r="B25" s="5" t="s">
        <v>64</v>
      </c>
      <c r="C25" s="5"/>
      <c r="D25" s="4"/>
      <c r="E25" s="4"/>
      <c r="F25" s="4"/>
      <c r="G25" s="4"/>
      <c r="H25" s="3"/>
      <c r="I25" s="3"/>
      <c r="J25" s="2"/>
      <c r="K25" s="3"/>
      <c r="L25" s="2"/>
    </row>
    <row r="26" spans="1:75" s="139" customFormat="1" ht="15.75" customHeight="1">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139" customFormat="1" ht="28.8">
      <c r="A27" s="1277" t="s">
        <v>31</v>
      </c>
      <c r="B27" s="1277" t="s">
        <v>1904</v>
      </c>
      <c r="C27" s="1277" t="s">
        <v>1903</v>
      </c>
      <c r="D27" s="1277" t="s">
        <v>1902</v>
      </c>
      <c r="E27" s="1277" t="s">
        <v>499</v>
      </c>
      <c r="F27" s="1277" t="s">
        <v>1901</v>
      </c>
      <c r="G27" s="1277" t="s">
        <v>1899</v>
      </c>
      <c r="H27" s="1277" t="s">
        <v>1898</v>
      </c>
      <c r="I27" s="1277" t="s">
        <v>1897</v>
      </c>
      <c r="J27" s="1277" t="s">
        <v>2111</v>
      </c>
      <c r="K27" s="1277" t="s">
        <v>1895</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row>
    <row r="28" spans="1:75" s="139" customFormat="1" ht="15.75" customHeight="1">
      <c r="A28" s="1273">
        <f>YEAR(B28)</f>
        <v>2019</v>
      </c>
      <c r="B28" s="1283">
        <f t="shared" ref="B28:D30" si="0">B8</f>
        <v>43647</v>
      </c>
      <c r="C28" s="1272">
        <f t="shared" si="0"/>
        <v>400000</v>
      </c>
      <c r="D28" s="1272">
        <f t="shared" si="0"/>
        <v>250000</v>
      </c>
      <c r="E28" s="1273">
        <f>2023-A28</f>
        <v>4</v>
      </c>
      <c r="F28" s="1272">
        <f>$C28*(1+$K$16)^$E28</f>
        <v>486202.5</v>
      </c>
      <c r="G28" s="1272">
        <f>MIN(MAX(0,F28-$E$4),$C$4)</f>
        <v>236202.5</v>
      </c>
      <c r="H28" s="1272">
        <f>$D28*(1+$K$16)^$E28</f>
        <v>303876.5625</v>
      </c>
      <c r="I28" s="1272">
        <f>H28*(G28/F28)</f>
        <v>147626.5625</v>
      </c>
      <c r="J28" s="1272">
        <f>G28+I28</f>
        <v>383829.0625</v>
      </c>
      <c r="K28" s="1282">
        <f>C22</f>
        <v>1.1000000000000001</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row>
    <row r="29" spans="1:75" s="139" customFormat="1" ht="15.75" customHeight="1">
      <c r="A29" s="1273">
        <f>YEAR(B29)</f>
        <v>2020</v>
      </c>
      <c r="B29" s="1283">
        <f t="shared" si="0"/>
        <v>44013</v>
      </c>
      <c r="C29" s="1272">
        <f t="shared" si="0"/>
        <v>900000</v>
      </c>
      <c r="D29" s="1272">
        <f t="shared" si="0"/>
        <v>600000</v>
      </c>
      <c r="E29" s="1273">
        <f>2023-A29</f>
        <v>3</v>
      </c>
      <c r="F29" s="1272">
        <f>$C29*(1+$K$16)^$E29</f>
        <v>1041862.5000000001</v>
      </c>
      <c r="G29" s="1272">
        <f>MIN(MAX(0,F29-$E$4),$C$4)</f>
        <v>500000</v>
      </c>
      <c r="H29" s="1272">
        <f>$D29*(1+$K$16)^$E29</f>
        <v>694575.00000000012</v>
      </c>
      <c r="I29" s="1272">
        <f>H29*(G29/F29)</f>
        <v>333333.33333333337</v>
      </c>
      <c r="J29" s="1272">
        <f>G29+I29</f>
        <v>833333.33333333337</v>
      </c>
      <c r="K29" s="1282">
        <f>C21</f>
        <v>1.35</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row>
    <row r="30" spans="1:75" s="139" customFormat="1" ht="15.75" customHeight="1">
      <c r="A30" s="1273">
        <f>YEAR(B30)</f>
        <v>2021</v>
      </c>
      <c r="B30" s="1283">
        <f t="shared" si="0"/>
        <v>44378</v>
      </c>
      <c r="C30" s="1272">
        <f t="shared" si="0"/>
        <v>250000</v>
      </c>
      <c r="D30" s="1272">
        <f t="shared" si="0"/>
        <v>300000</v>
      </c>
      <c r="E30" s="1273">
        <f>2023-A30</f>
        <v>2</v>
      </c>
      <c r="F30" s="1272">
        <f>$C30*(1+$K$16)^$E30</f>
        <v>275625</v>
      </c>
      <c r="G30" s="1272">
        <f>MIN(MAX(0,F30-$E$4),$C$4)</f>
        <v>25625</v>
      </c>
      <c r="H30" s="1272">
        <f>$D30*(1+$K$16)^$E30</f>
        <v>330750</v>
      </c>
      <c r="I30" s="1272">
        <f>H30*(G30/F30)</f>
        <v>30750</v>
      </c>
      <c r="J30" s="1272">
        <f>G30+I30</f>
        <v>56375</v>
      </c>
      <c r="K30" s="1282">
        <f>C20</f>
        <v>2.2999999999999998</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row>
    <row r="31" spans="1:75" s="139" customFormat="1" ht="15.75" customHeight="1" thickBot="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139" customFormat="1" ht="28.8">
      <c r="A32" s="1277" t="s">
        <v>31</v>
      </c>
      <c r="B32" s="1277" t="s">
        <v>2099</v>
      </c>
      <c r="C32" s="1276" t="s">
        <v>2110</v>
      </c>
      <c r="D32" s="1275" t="s">
        <v>2094</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1:75" s="139" customFormat="1" ht="15.75" customHeight="1">
      <c r="A33" s="1273">
        <f>A28</f>
        <v>2019</v>
      </c>
      <c r="B33" s="1272">
        <f>J28*K28</f>
        <v>422211.96875000006</v>
      </c>
      <c r="C33" s="1271">
        <f>$K$14*$K$17</f>
        <v>600000</v>
      </c>
      <c r="D33" s="1281">
        <f>B33/C33</f>
        <v>0.70368661458333348</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1:75" s="139" customFormat="1" ht="15.75" customHeight="1">
      <c r="A34" s="1273">
        <f>A29</f>
        <v>2020</v>
      </c>
      <c r="B34" s="1272">
        <f>J29*K29</f>
        <v>1125000.0000000002</v>
      </c>
      <c r="C34" s="1271">
        <f>$K$14*$K$17</f>
        <v>600000</v>
      </c>
      <c r="D34" s="1281">
        <f>B34/C34</f>
        <v>1.8750000000000004</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1:75" s="139" customFormat="1" ht="15.75" customHeight="1" thickBot="1">
      <c r="A35" s="1273">
        <f>A30</f>
        <v>2021</v>
      </c>
      <c r="B35" s="1272">
        <f>J30*K30</f>
        <v>129662.49999999999</v>
      </c>
      <c r="C35" s="1271">
        <f>$K$14*$K$17</f>
        <v>600000</v>
      </c>
      <c r="D35" s="1280">
        <f>B35/C35</f>
        <v>0.21610416666666665</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1:75" s="139" customFormat="1" ht="15.75" customHeight="1">
      <c r="C36" s="139" t="s">
        <v>72</v>
      </c>
      <c r="D36" s="1269">
        <f>SUM(B33:B35)/SUM(C33:C35)</f>
        <v>0.93159692708333341</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1:75" ht="15.75" customHeight="1">
      <c r="A37" s="3" t="s">
        <v>2109</v>
      </c>
      <c r="B37" s="65"/>
      <c r="C37" s="65"/>
      <c r="D37" s="65"/>
      <c r="E37" s="65"/>
      <c r="F37" s="65"/>
      <c r="G37" s="65"/>
      <c r="H37" s="65"/>
      <c r="I37" s="65"/>
      <c r="J37" s="65"/>
      <c r="K37" s="65"/>
      <c r="L37" s="65"/>
    </row>
    <row r="38" spans="1:75" ht="15.75" customHeight="1">
      <c r="A38" s="3" t="s">
        <v>2108</v>
      </c>
      <c r="B38" s="65"/>
      <c r="C38" s="65"/>
      <c r="D38" s="65"/>
      <c r="E38" s="65"/>
      <c r="F38" s="65"/>
      <c r="G38" s="65"/>
      <c r="H38" s="65"/>
      <c r="I38" s="65"/>
      <c r="J38" s="65"/>
      <c r="K38" s="1279">
        <f>100/80</f>
        <v>1.25</v>
      </c>
      <c r="L38" s="281" t="s">
        <v>2107</v>
      </c>
    </row>
    <row r="39" spans="1:75" ht="15.75" customHeight="1">
      <c r="A39" s="3" t="s">
        <v>2106</v>
      </c>
      <c r="B39" s="65"/>
      <c r="C39" s="65"/>
      <c r="D39" s="65"/>
      <c r="E39" s="65"/>
      <c r="F39" s="65"/>
      <c r="G39" s="65"/>
      <c r="H39" s="65"/>
      <c r="I39" s="65"/>
      <c r="J39" s="65"/>
      <c r="K39" s="1278">
        <v>0.15</v>
      </c>
      <c r="L39" s="281" t="s">
        <v>2105</v>
      </c>
    </row>
    <row r="40" spans="1:75" ht="15.75" customHeight="1">
      <c r="A40" s="3" t="s">
        <v>2104</v>
      </c>
      <c r="B40" s="65"/>
      <c r="C40" s="65"/>
      <c r="D40" s="65"/>
      <c r="E40" s="65"/>
      <c r="F40" s="65"/>
      <c r="G40" s="65"/>
      <c r="H40" s="65"/>
      <c r="I40" s="65"/>
      <c r="J40" s="65"/>
      <c r="K40" s="1278">
        <v>0.2</v>
      </c>
      <c r="L40" s="281" t="s">
        <v>2103</v>
      </c>
    </row>
    <row r="41" spans="1:75" ht="15.75" customHeight="1">
      <c r="A41" s="3" t="s">
        <v>2102</v>
      </c>
      <c r="B41" s="65"/>
      <c r="C41" s="65"/>
      <c r="D41" s="65"/>
      <c r="E41" s="65"/>
      <c r="F41" s="65"/>
      <c r="G41" s="65"/>
      <c r="H41" s="65"/>
      <c r="I41" s="65"/>
      <c r="J41" s="65"/>
      <c r="K41" s="1278">
        <v>0.1</v>
      </c>
      <c r="L41" s="281" t="s">
        <v>2101</v>
      </c>
    </row>
    <row r="42" spans="1:75" ht="15.75" customHeight="1">
      <c r="A42" s="65"/>
      <c r="B42" s="65"/>
      <c r="C42" s="65"/>
      <c r="D42" s="65"/>
      <c r="E42" s="65"/>
      <c r="F42" s="65"/>
      <c r="G42" s="65"/>
      <c r="H42" s="65"/>
      <c r="I42" s="65"/>
      <c r="J42" s="65"/>
      <c r="K42" s="65"/>
      <c r="L42" s="65"/>
    </row>
    <row r="43" spans="1:75" ht="15.75" customHeight="1">
      <c r="A43" s="3" t="s">
        <v>9</v>
      </c>
      <c r="B43" s="3" t="s">
        <v>2100</v>
      </c>
      <c r="C43" s="3"/>
      <c r="D43" s="3"/>
      <c r="E43" s="3"/>
      <c r="F43" s="3"/>
      <c r="G43" s="3"/>
      <c r="H43" s="3"/>
      <c r="I43" s="3"/>
      <c r="J43" s="3"/>
      <c r="K43" s="3"/>
      <c r="L43" s="2"/>
    </row>
    <row r="44" spans="1:75" ht="15.75" customHeight="1">
      <c r="A44" s="5"/>
      <c r="B44" s="5" t="s">
        <v>64</v>
      </c>
      <c r="C44" s="5"/>
      <c r="D44" s="4"/>
      <c r="E44" s="4"/>
      <c r="F44" s="4"/>
      <c r="G44" s="4"/>
      <c r="H44" s="3"/>
      <c r="I44" s="3"/>
      <c r="J44" s="2"/>
      <c r="K44" s="3"/>
      <c r="L44" s="2"/>
    </row>
    <row r="45" spans="1:75" s="139" customFormat="1" ht="15.75" customHeight="1" thickBot="1">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1:75" s="139" customFormat="1" ht="28.8">
      <c r="A46" s="1277" t="s">
        <v>31</v>
      </c>
      <c r="B46" s="1277" t="s">
        <v>2099</v>
      </c>
      <c r="C46" s="1277" t="s">
        <v>2098</v>
      </c>
      <c r="D46" s="1277" t="s">
        <v>2097</v>
      </c>
      <c r="E46" s="1277" t="s">
        <v>2096</v>
      </c>
      <c r="F46" s="1276" t="s">
        <v>2095</v>
      </c>
      <c r="G46" s="1275" t="s">
        <v>2094</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1:75" s="139" customFormat="1" ht="15.75" customHeight="1">
      <c r="A47" s="1273">
        <f>A28</f>
        <v>2019</v>
      </c>
      <c r="B47" s="1272">
        <f>B33</f>
        <v>422211.96875000006</v>
      </c>
      <c r="C47" s="1272">
        <f>B47*$K$38</f>
        <v>527764.96093750012</v>
      </c>
      <c r="D47" s="1272">
        <f>$K$14*$K$40</f>
        <v>800000</v>
      </c>
      <c r="E47" s="1272">
        <f>$K$14*$K$41</f>
        <v>400000</v>
      </c>
      <c r="F47" s="1271">
        <f>MIN(MAX(C47,E47),D47)</f>
        <v>527764.96093750012</v>
      </c>
      <c r="G47" s="1274">
        <f>B47/F47</f>
        <v>0.79999999999999993</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1:75" s="139" customFormat="1" ht="15.75" customHeight="1">
      <c r="A48" s="1273">
        <f>A29</f>
        <v>2020</v>
      </c>
      <c r="B48" s="1272">
        <f>B34</f>
        <v>1125000.0000000002</v>
      </c>
      <c r="C48" s="1272">
        <f>B48*$K$38</f>
        <v>1406250.0000000002</v>
      </c>
      <c r="D48" s="1272">
        <f>$K$14*$K$40</f>
        <v>800000</v>
      </c>
      <c r="E48" s="1272">
        <f>$K$14*$K$41</f>
        <v>400000</v>
      </c>
      <c r="F48" s="1271">
        <f>MIN(MAX(C48,E48),D48)</f>
        <v>800000</v>
      </c>
      <c r="G48" s="1274">
        <f>B48/F48</f>
        <v>1.4062500000000002</v>
      </c>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1:75" s="139" customFormat="1" ht="15.75" customHeight="1" thickBot="1">
      <c r="A49" s="1273">
        <f>A30</f>
        <v>2021</v>
      </c>
      <c r="B49" s="1272">
        <f>B35</f>
        <v>129662.49999999999</v>
      </c>
      <c r="C49" s="1272">
        <f>B49*$K$38</f>
        <v>162078.12499999997</v>
      </c>
      <c r="D49" s="1272">
        <f>$K$14*$K$40</f>
        <v>800000</v>
      </c>
      <c r="E49" s="1272">
        <f>$K$14*$K$41</f>
        <v>400000</v>
      </c>
      <c r="F49" s="1271">
        <f>MIN(MAX(C49,E49),D49)</f>
        <v>400000</v>
      </c>
      <c r="G49" s="1270">
        <f>B49/F49</f>
        <v>0.32415624999999998</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1:75" s="139" customFormat="1" ht="15.6" customHeight="1">
      <c r="F50" s="139" t="s">
        <v>72</v>
      </c>
      <c r="G50" s="1269">
        <f>SUM(B47:B49)/SUM(F47:F49)</f>
        <v>0.97054547734323415</v>
      </c>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1:75" ht="15.75" customHeight="1">
      <c r="A51" s="3" t="s">
        <v>7</v>
      </c>
      <c r="B51" s="3" t="s">
        <v>2093</v>
      </c>
      <c r="C51" s="3"/>
      <c r="D51" s="3"/>
      <c r="E51" s="3"/>
      <c r="F51" s="3"/>
      <c r="G51" s="3"/>
      <c r="H51" s="3"/>
      <c r="I51" s="3"/>
      <c r="J51" s="3"/>
      <c r="K51" s="3"/>
      <c r="L51" s="2"/>
    </row>
    <row r="52" spans="1:75" ht="15.75" customHeight="1">
      <c r="A52" s="5"/>
      <c r="B52" s="5" t="s">
        <v>64</v>
      </c>
      <c r="C52" s="5"/>
      <c r="D52" s="4"/>
      <c r="E52" s="4"/>
      <c r="F52" s="4"/>
      <c r="G52" s="4"/>
      <c r="H52" s="3"/>
      <c r="I52" s="3"/>
      <c r="J52" s="2"/>
      <c r="K52" s="3"/>
      <c r="L52" s="2"/>
    </row>
    <row r="53" spans="1:75" customFormat="1" ht="15.75" customHeight="1">
      <c r="A53" s="139"/>
      <c r="B53" s="139"/>
      <c r="C53" s="139"/>
      <c r="D53" s="139"/>
      <c r="E53" s="139"/>
      <c r="F53" s="139"/>
      <c r="G53" s="139"/>
      <c r="H53" s="139"/>
      <c r="I53" s="139"/>
      <c r="J53" s="139"/>
      <c r="K53" s="139"/>
      <c r="L53" s="139"/>
    </row>
    <row r="54" spans="1:75" customFormat="1" ht="15.75" customHeight="1">
      <c r="A54" s="139"/>
      <c r="B54" s="139" t="s">
        <v>2092</v>
      </c>
      <c r="C54" s="139" t="s">
        <v>2091</v>
      </c>
      <c r="D54" s="139"/>
      <c r="E54" s="139"/>
      <c r="F54" s="139"/>
      <c r="G54" s="139"/>
      <c r="H54" s="139"/>
      <c r="I54" s="139"/>
      <c r="J54" s="139"/>
      <c r="K54" s="139"/>
      <c r="L54" s="139"/>
    </row>
    <row r="55" spans="1:75" customFormat="1" ht="15.75" customHeight="1">
      <c r="A55" s="139"/>
      <c r="B55" s="139" t="s">
        <v>2090</v>
      </c>
      <c r="C55" s="139" t="s">
        <v>2089</v>
      </c>
      <c r="D55" s="139"/>
      <c r="E55" s="139"/>
      <c r="F55" s="139"/>
      <c r="G55" s="139"/>
      <c r="H55" s="139"/>
      <c r="I55" s="139"/>
      <c r="J55" s="139"/>
      <c r="K55" s="139"/>
      <c r="L55" s="139"/>
    </row>
    <row r="56" spans="1:75" customFormat="1" ht="15.75" customHeight="1">
      <c r="A56" s="139"/>
      <c r="B56" s="139"/>
      <c r="C56" s="139"/>
      <c r="D56" s="139"/>
      <c r="E56" s="139"/>
      <c r="F56" s="139"/>
      <c r="G56" s="139"/>
      <c r="H56" s="139"/>
      <c r="I56" s="139"/>
      <c r="J56" s="139"/>
      <c r="K56" s="139"/>
      <c r="L56" s="139"/>
    </row>
    <row r="57" spans="1:75" customFormat="1" ht="15.75" customHeight="1">
      <c r="A57" s="139"/>
      <c r="B57" s="139"/>
      <c r="C57" s="139"/>
      <c r="D57" s="139"/>
      <c r="E57" s="139"/>
      <c r="F57" s="139"/>
      <c r="G57" s="139"/>
      <c r="H57" s="139"/>
      <c r="I57" s="139"/>
      <c r="J57" s="139"/>
      <c r="K57" s="139"/>
      <c r="L57" s="139"/>
    </row>
    <row r="58" spans="1:75" customFormat="1" ht="15.75" customHeight="1">
      <c r="A58" s="139"/>
      <c r="B58" s="139"/>
      <c r="C58" s="139"/>
      <c r="D58" s="139"/>
      <c r="E58" s="139"/>
      <c r="F58" s="139"/>
      <c r="G58" s="139"/>
      <c r="H58" s="139"/>
      <c r="I58" s="139"/>
      <c r="J58" s="139"/>
      <c r="K58" s="139"/>
      <c r="L58" s="139"/>
    </row>
    <row r="59" spans="1:75" customFormat="1" ht="15.75" customHeight="1"/>
    <row r="60" spans="1:75" customFormat="1" ht="15.75" customHeight="1"/>
    <row r="61" spans="1:75" customFormat="1" ht="15.75" customHeight="1"/>
    <row r="62" spans="1:75" customFormat="1" ht="15.75" customHeight="1"/>
    <row r="63" spans="1:75" customFormat="1" ht="15.75" customHeight="1"/>
    <row r="64" spans="1:75" customFormat="1" ht="15.75" customHeight="1"/>
    <row r="65" customFormat="1" ht="15.75" customHeight="1"/>
    <row r="66" customFormat="1" ht="15.75" customHeight="1"/>
    <row r="67" customFormat="1" ht="15.75" customHeight="1"/>
    <row r="68" customFormat="1" ht="15.75" customHeight="1"/>
    <row r="69" customFormat="1" ht="15.75" customHeight="1"/>
    <row r="70" customFormat="1" ht="15.75" customHeight="1"/>
    <row r="71" customFormat="1" ht="15.75" customHeight="1"/>
    <row r="72" customFormat="1" ht="15.75" customHeight="1"/>
    <row r="73" customFormat="1" ht="15.75" customHeight="1"/>
    <row r="74" customFormat="1" ht="15.75" customHeight="1"/>
    <row r="75" customFormat="1" ht="15.75" customHeight="1"/>
    <row r="76" customFormat="1" ht="15.75" customHeight="1"/>
    <row r="77" customFormat="1" ht="15.75" customHeight="1"/>
    <row r="78" customFormat="1" ht="15.75" customHeight="1"/>
    <row r="79" customFormat="1" ht="15.75" customHeight="1"/>
    <row r="80" customFormat="1" ht="15.75" customHeight="1"/>
    <row r="81" customFormat="1" ht="15.75" customHeight="1"/>
    <row r="82" customFormat="1" ht="15.75" customHeight="1"/>
    <row r="83" customFormat="1" ht="15.75" customHeight="1"/>
    <row r="84" customFormat="1" ht="15.75" customHeight="1"/>
    <row r="85" customFormat="1" ht="15.75" customHeight="1"/>
    <row r="86" customFormat="1" ht="15.75" customHeight="1"/>
    <row r="87" customFormat="1" ht="15.75" customHeight="1"/>
    <row r="88" customFormat="1" ht="15.75" customHeight="1"/>
    <row r="89" customFormat="1" ht="15.75" customHeight="1"/>
    <row r="90" customFormat="1" ht="15.75" customHeight="1"/>
    <row r="91" customFormat="1" ht="15.75" customHeight="1"/>
    <row r="92" customFormat="1" ht="15.75" customHeight="1"/>
    <row r="93" customFormat="1" ht="15.75" customHeight="1"/>
    <row r="94" customFormat="1" ht="15.75" customHeight="1"/>
    <row r="95" customFormat="1" ht="15.75" customHeight="1"/>
    <row r="96" customFormat="1" ht="15.75" customHeight="1"/>
    <row r="97" customFormat="1" ht="15.75" customHeight="1"/>
    <row r="98" customFormat="1" ht="15.75" customHeight="1"/>
    <row r="99" customFormat="1" ht="15.75" customHeight="1"/>
    <row r="100" customFormat="1" ht="15.75" customHeight="1"/>
    <row r="101" customFormat="1" ht="15.75" customHeight="1"/>
    <row r="102" customFormat="1" ht="15.75" customHeight="1"/>
    <row r="103" customFormat="1" ht="15.75" customHeight="1"/>
    <row r="104" customFormat="1" ht="15.75" customHeight="1"/>
    <row r="105" customFormat="1" ht="15.75" customHeight="1"/>
    <row r="106" customFormat="1" ht="15.75" customHeight="1"/>
    <row r="107" customFormat="1" ht="15.75" customHeight="1"/>
    <row r="108" customFormat="1" ht="15.75" customHeight="1"/>
    <row r="109" customFormat="1" ht="15.75" customHeight="1"/>
    <row r="110" customFormat="1" ht="15.75" customHeight="1"/>
    <row r="111" customFormat="1" ht="15.75" customHeight="1"/>
    <row r="112" customFormat="1" ht="15.75" customHeight="1"/>
    <row r="113" customFormat="1" ht="15.75" customHeight="1"/>
    <row r="114" customFormat="1" ht="15.75" customHeight="1"/>
    <row r="115" customFormat="1" ht="15.75" customHeight="1"/>
    <row r="116" customFormat="1" ht="15.75" customHeight="1"/>
    <row r="117" customFormat="1" ht="15.75" customHeight="1"/>
    <row r="118" customFormat="1" ht="15.75" customHeight="1"/>
    <row r="119" customFormat="1" ht="15.75" customHeight="1"/>
    <row r="120" customFormat="1" ht="15.75" customHeight="1"/>
    <row r="121" customFormat="1" ht="15.75" customHeight="1"/>
    <row r="122" customFormat="1" ht="15.75" customHeight="1"/>
    <row r="123" customFormat="1" ht="15.75" customHeight="1"/>
    <row r="124" customFormat="1" ht="15.75" customHeight="1"/>
    <row r="125" customFormat="1" ht="15.75" customHeight="1"/>
    <row r="126" customFormat="1" ht="15.75" customHeight="1"/>
    <row r="127" customFormat="1" ht="15.75" customHeight="1"/>
    <row r="128" customFormat="1" ht="15.75" customHeight="1"/>
    <row r="129" customFormat="1" ht="15.75" customHeight="1"/>
    <row r="130" customFormat="1" ht="15.75" customHeight="1"/>
    <row r="131" customFormat="1" ht="15.75" customHeight="1"/>
    <row r="132" customFormat="1" ht="15.75" customHeight="1"/>
    <row r="133" customFormat="1" ht="15.75" customHeight="1"/>
    <row r="134" customFormat="1" ht="15.75" customHeight="1"/>
    <row r="135" customFormat="1" ht="15.75" customHeight="1"/>
    <row r="136" customFormat="1" ht="15.75" customHeight="1"/>
    <row r="137" customFormat="1" ht="15.75" customHeight="1"/>
    <row r="138" customFormat="1" ht="15.75" customHeight="1"/>
    <row r="139" customFormat="1" ht="15.75" customHeight="1"/>
    <row r="140" customFormat="1" ht="15.75" customHeight="1"/>
    <row r="141" customFormat="1" ht="15.75" customHeight="1"/>
    <row r="142" customFormat="1" ht="15.75" customHeight="1"/>
    <row r="143" customFormat="1" ht="15.75" customHeight="1"/>
    <row r="144" customFormat="1" ht="15.75" customHeight="1"/>
    <row r="145" customFormat="1" ht="15.75" customHeight="1"/>
    <row r="146" customFormat="1" ht="15.75" customHeight="1"/>
    <row r="147" customFormat="1" ht="15.75" customHeight="1"/>
    <row r="148" customFormat="1" ht="15.75" customHeight="1"/>
    <row r="149" customFormat="1" ht="15.75" customHeight="1"/>
    <row r="150" customFormat="1" ht="15.75" customHeight="1"/>
    <row r="151" customFormat="1" ht="15.75" customHeight="1"/>
    <row r="152" customFormat="1" ht="15.75" customHeight="1"/>
    <row r="153" customFormat="1" ht="15.75" customHeight="1"/>
    <row r="154" customFormat="1" ht="15.75" customHeight="1"/>
    <row r="155" customFormat="1" ht="15.75" customHeight="1"/>
    <row r="156" customFormat="1" ht="15.75" customHeight="1"/>
    <row r="157" customFormat="1" ht="15.75" customHeight="1"/>
    <row r="158" customFormat="1" ht="15.75" customHeight="1"/>
    <row r="159" customFormat="1" ht="15.75" customHeight="1"/>
    <row r="160" customFormat="1" ht="15.75" customHeight="1"/>
    <row r="161" customFormat="1" ht="15.75" customHeight="1"/>
    <row r="162" customFormat="1" ht="15.75" customHeight="1"/>
    <row r="163" customFormat="1" ht="15.75" customHeight="1"/>
    <row r="164" customFormat="1" ht="15.75" customHeight="1"/>
    <row r="165" customFormat="1" ht="15.75" customHeight="1"/>
    <row r="166" customFormat="1" ht="15.75" customHeight="1"/>
    <row r="167" customFormat="1" ht="15.75" customHeight="1"/>
    <row r="168" customFormat="1" ht="15.75" customHeight="1"/>
    <row r="169" customFormat="1" ht="15.75" customHeight="1"/>
    <row r="170" customFormat="1" ht="15.75" customHeight="1"/>
    <row r="171" customFormat="1" ht="15.75" customHeight="1"/>
    <row r="172" customFormat="1" ht="15.75" customHeight="1"/>
    <row r="173" customFormat="1" ht="15.75" customHeight="1"/>
    <row r="174" customFormat="1" ht="15.75" customHeight="1"/>
    <row r="175" customFormat="1" ht="15.75" customHeight="1"/>
    <row r="176" customFormat="1" ht="15.75" customHeight="1"/>
    <row r="177" customFormat="1" ht="15.75" customHeight="1"/>
    <row r="178" customFormat="1" ht="15.75" customHeight="1"/>
    <row r="179" customFormat="1" ht="15.75" customHeight="1"/>
    <row r="180" customFormat="1" ht="15.75" customHeight="1"/>
    <row r="181" customFormat="1" ht="15.75" customHeight="1"/>
    <row r="182" customFormat="1" ht="15.75" customHeight="1"/>
    <row r="183" customFormat="1" ht="15.75" customHeight="1"/>
    <row r="184" customFormat="1" ht="15.75" customHeight="1"/>
    <row r="185" customFormat="1" ht="15.75" customHeight="1"/>
    <row r="186" customFormat="1" ht="15.75" customHeight="1"/>
    <row r="187" customFormat="1" ht="15.75" customHeight="1"/>
    <row r="188" customFormat="1" ht="15.75" customHeight="1"/>
    <row r="189" customFormat="1" ht="15.75" customHeight="1"/>
    <row r="190" customFormat="1" ht="15.75" customHeight="1"/>
    <row r="191" customFormat="1" ht="15.75" customHeight="1"/>
    <row r="192" customFormat="1" ht="15.75" customHeight="1"/>
    <row r="193" spans="1:12" customFormat="1" ht="15.75" customHeight="1"/>
    <row r="194" spans="1:12" customFormat="1" ht="15.75" customHeight="1"/>
    <row r="195" spans="1:12" customFormat="1" ht="15.75" customHeight="1"/>
    <row r="196" spans="1:12" customFormat="1" ht="15.75" customHeight="1"/>
    <row r="197" spans="1:12" customFormat="1" ht="15.75" customHeight="1"/>
    <row r="198" spans="1:12" customFormat="1" ht="15.75" customHeight="1"/>
    <row r="199" spans="1:12" customFormat="1" ht="15.75" customHeight="1"/>
    <row r="200" spans="1:12" customFormat="1" ht="15.75" customHeight="1"/>
    <row r="201" spans="1:12" customFormat="1" ht="15.75" customHeight="1"/>
    <row r="202" spans="1:12" customFormat="1" ht="15.75" customHeight="1"/>
    <row r="203" spans="1:12" customFormat="1" ht="15.75" customHeight="1"/>
    <row r="204" spans="1:12" ht="15.75" customHeight="1">
      <c r="A204"/>
      <c r="B204"/>
      <c r="C204"/>
      <c r="D204"/>
      <c r="E204"/>
      <c r="F204"/>
      <c r="G204"/>
      <c r="H204"/>
      <c r="I204"/>
      <c r="J204"/>
      <c r="K204"/>
      <c r="L204"/>
    </row>
    <row r="205" spans="1:12" ht="15.75" customHeight="1">
      <c r="A205"/>
      <c r="B205"/>
      <c r="C205"/>
      <c r="D205"/>
      <c r="E205"/>
      <c r="F205"/>
      <c r="G205"/>
      <c r="H205"/>
      <c r="I205"/>
      <c r="J205"/>
      <c r="K205"/>
      <c r="L205"/>
    </row>
    <row r="206" spans="1:12" ht="15.75" customHeight="1">
      <c r="A206"/>
      <c r="B206"/>
      <c r="C206"/>
      <c r="D206"/>
      <c r="E206"/>
      <c r="F206"/>
      <c r="G206"/>
      <c r="H206"/>
      <c r="I206"/>
      <c r="J206"/>
      <c r="K206"/>
      <c r="L206"/>
    </row>
    <row r="207" spans="1:12" ht="15.75" customHeight="1">
      <c r="A207"/>
      <c r="B207"/>
      <c r="C207"/>
      <c r="D207"/>
      <c r="E207"/>
      <c r="F207"/>
      <c r="G207"/>
      <c r="H207"/>
      <c r="I207"/>
      <c r="J207"/>
      <c r="K207"/>
      <c r="L207"/>
    </row>
  </sheetData>
  <mergeCells count="2">
    <mergeCell ref="A3:L3"/>
    <mergeCell ref="B6:D6"/>
  </mergeCells>
  <pageMargins left="0.7" right="0.7" top="0.75" bottom="0.75" header="0.3" footer="0.3"/>
  <pageSetup orientation="portrait" horizontalDpi="0"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47406-3FA9-4F7E-AC39-F53F1DB6B2A6}">
  <dimension ref="A1:BX881"/>
  <sheetViews>
    <sheetView topLeftCell="A2" zoomScaleNormal="100" workbookViewId="0">
      <selection activeCell="B38" sqref="B38"/>
    </sheetView>
  </sheetViews>
  <sheetFormatPr defaultColWidth="9.109375" defaultRowHeight="15.6"/>
  <cols>
    <col min="1" max="1" width="9.109375" style="1"/>
    <col min="2" max="2" width="14.5546875" style="1" customWidth="1"/>
    <col min="3" max="3" width="12.33203125" style="1" customWidth="1"/>
    <col min="4" max="12" width="9.109375" style="1" customWidth="1"/>
    <col min="13" max="13" width="9.109375" customWidth="1"/>
    <col min="76" max="16384" width="9.109375" style="1"/>
  </cols>
  <sheetData>
    <row r="1" spans="1:76" ht="15.75" customHeight="1">
      <c r="A1" s="23" t="s">
        <v>669</v>
      </c>
      <c r="B1" s="22"/>
      <c r="C1" s="5" t="s">
        <v>38</v>
      </c>
      <c r="D1" s="22"/>
      <c r="E1" s="22"/>
      <c r="F1" s="22"/>
      <c r="G1" s="22"/>
      <c r="H1" s="22"/>
      <c r="I1" s="22"/>
      <c r="J1" s="22"/>
      <c r="K1" s="22"/>
      <c r="L1" s="2"/>
    </row>
    <row r="2" spans="1:76" ht="15.75" customHeight="1">
      <c r="A2" s="21"/>
      <c r="B2" s="21"/>
      <c r="C2" s="3"/>
      <c r="D2" s="3"/>
      <c r="E2" s="3"/>
      <c r="F2" s="3"/>
      <c r="G2" s="3"/>
      <c r="H2" s="3"/>
      <c r="I2" s="3"/>
      <c r="J2" s="3"/>
      <c r="K2" s="3"/>
      <c r="L2" s="2"/>
    </row>
    <row r="3" spans="1:76">
      <c r="A3" s="1670" t="s">
        <v>2145</v>
      </c>
      <c r="B3" s="1670"/>
      <c r="C3" s="1670"/>
      <c r="D3" s="1670"/>
      <c r="E3" s="1670"/>
      <c r="F3" s="1670"/>
      <c r="G3" s="1670"/>
      <c r="H3" s="1670"/>
      <c r="I3" s="1670"/>
      <c r="J3" s="1670"/>
      <c r="K3" s="1670"/>
      <c r="L3" s="1670"/>
    </row>
    <row r="4" spans="1:76" ht="15.75" customHeight="1">
      <c r="A4" s="21" t="s">
        <v>2144</v>
      </c>
      <c r="B4" s="3"/>
      <c r="C4" s="3"/>
      <c r="D4" s="3"/>
      <c r="E4" s="3"/>
      <c r="F4" s="3"/>
      <c r="G4" s="3"/>
      <c r="H4" s="3"/>
      <c r="I4" s="3"/>
      <c r="J4" s="3"/>
      <c r="K4" s="3"/>
      <c r="L4" s="3"/>
    </row>
    <row r="5" spans="1:76" ht="15.75" customHeight="1">
      <c r="A5" s="21"/>
      <c r="B5" s="3"/>
      <c r="C5" s="3"/>
      <c r="D5" s="3"/>
      <c r="E5" s="3"/>
      <c r="F5" s="3"/>
      <c r="G5" s="3"/>
      <c r="H5" s="3"/>
      <c r="I5" s="3"/>
      <c r="J5" s="3"/>
      <c r="K5" s="3"/>
      <c r="L5" s="3"/>
    </row>
    <row r="6" spans="1:76" ht="15.75" customHeight="1">
      <c r="A6" s="3"/>
      <c r="B6" s="674" t="s">
        <v>2143</v>
      </c>
      <c r="C6" s="683">
        <v>15000000</v>
      </c>
      <c r="D6" s="3"/>
      <c r="E6" s="3"/>
      <c r="F6" s="3"/>
      <c r="G6" s="3"/>
      <c r="H6" s="3"/>
      <c r="I6" s="3"/>
      <c r="J6" s="3"/>
      <c r="K6" s="3"/>
      <c r="L6" s="3"/>
    </row>
    <row r="7" spans="1:76" ht="15.75" customHeight="1">
      <c r="A7" s="3"/>
      <c r="B7" s="674" t="s">
        <v>2142</v>
      </c>
      <c r="C7" s="683">
        <v>100000000</v>
      </c>
      <c r="D7" s="1060"/>
      <c r="E7" s="1060"/>
      <c r="F7" s="3"/>
      <c r="G7" s="3"/>
      <c r="H7" s="3"/>
      <c r="I7" s="3"/>
      <c r="J7" s="3"/>
      <c r="K7" s="3"/>
      <c r="L7" s="3"/>
    </row>
    <row r="8" spans="1:76" ht="15.75" customHeight="1">
      <c r="A8" s="3"/>
      <c r="B8" s="674" t="s">
        <v>2141</v>
      </c>
      <c r="C8" s="697">
        <v>0.8</v>
      </c>
      <c r="D8" s="749" t="s">
        <v>2140</v>
      </c>
      <c r="E8" s="697">
        <v>0.1</v>
      </c>
      <c r="F8" s="281" t="s">
        <v>2139</v>
      </c>
      <c r="G8" s="3"/>
      <c r="H8" s="3"/>
      <c r="I8" s="3"/>
      <c r="J8" s="3"/>
      <c r="K8" s="3"/>
      <c r="L8" s="3"/>
      <c r="BX8"/>
    </row>
    <row r="9" spans="1:76" ht="15.75" customHeight="1">
      <c r="A9" s="3"/>
      <c r="B9" s="674" t="s">
        <v>2138</v>
      </c>
      <c r="C9" s="697">
        <v>0.5</v>
      </c>
      <c r="D9" s="281" t="s">
        <v>2137</v>
      </c>
      <c r="E9" s="1284"/>
      <c r="F9" s="1284"/>
      <c r="G9" s="3"/>
      <c r="H9" s="3"/>
      <c r="I9" s="3"/>
      <c r="J9" s="3"/>
      <c r="K9" s="3"/>
      <c r="L9" s="3"/>
      <c r="BX9"/>
    </row>
    <row r="10" spans="1:76" ht="15.75" customHeight="1">
      <c r="A10" s="3"/>
      <c r="B10" s="49"/>
      <c r="C10" s="49"/>
      <c r="D10" s="1290"/>
      <c r="E10" s="1290"/>
      <c r="F10" s="1290"/>
      <c r="G10" s="3"/>
      <c r="H10" s="3"/>
      <c r="I10" s="3"/>
      <c r="J10" s="3"/>
      <c r="K10" s="3"/>
      <c r="L10" s="3"/>
      <c r="BX10"/>
    </row>
    <row r="11" spans="1:76" ht="15.75" customHeight="1">
      <c r="A11" s="3" t="s">
        <v>80</v>
      </c>
      <c r="B11" s="3" t="s">
        <v>2136</v>
      </c>
      <c r="C11" s="3"/>
      <c r="D11" s="3"/>
      <c r="E11" s="3"/>
      <c r="F11" s="3"/>
      <c r="G11" s="3"/>
      <c r="H11" s="3"/>
      <c r="I11" s="3"/>
      <c r="J11" s="3"/>
      <c r="K11" s="3"/>
      <c r="L11" s="2"/>
    </row>
    <row r="12" spans="1:76" ht="15.75" customHeight="1">
      <c r="A12" s="5"/>
      <c r="B12" s="5" t="s">
        <v>64</v>
      </c>
      <c r="C12" s="5"/>
      <c r="D12" s="4"/>
      <c r="E12" s="4"/>
      <c r="F12" s="4"/>
      <c r="G12" s="4"/>
      <c r="H12" s="3"/>
      <c r="I12" s="3"/>
      <c r="J12" s="2"/>
      <c r="K12" s="3"/>
      <c r="L12" s="2"/>
    </row>
    <row r="13" spans="1:76" ht="15.75" customHeight="1">
      <c r="A13"/>
      <c r="B13"/>
      <c r="C13"/>
      <c r="D13"/>
      <c r="E13"/>
      <c r="F13"/>
      <c r="G13"/>
      <c r="H13"/>
      <c r="I13"/>
      <c r="J13"/>
      <c r="K13"/>
      <c r="L13"/>
    </row>
    <row r="14" spans="1:76" ht="15.75" customHeight="1">
      <c r="A14"/>
      <c r="B14" s="1289">
        <f>C6/C7</f>
        <v>0.15</v>
      </c>
      <c r="C14"/>
      <c r="D14"/>
      <c r="E14"/>
      <c r="F14"/>
      <c r="G14"/>
      <c r="H14"/>
      <c r="I14"/>
      <c r="J14"/>
      <c r="K14"/>
      <c r="L14"/>
    </row>
    <row r="15" spans="1:76" ht="15.75" customHeight="1">
      <c r="A15"/>
      <c r="B15"/>
      <c r="C15"/>
      <c r="D15"/>
      <c r="E15"/>
      <c r="F15"/>
      <c r="G15"/>
      <c r="H15"/>
      <c r="I15"/>
      <c r="J15"/>
      <c r="K15"/>
      <c r="L15"/>
    </row>
    <row r="16" spans="1:76" ht="15.75" customHeight="1">
      <c r="A16" s="214" t="s">
        <v>9</v>
      </c>
      <c r="B16" s="1670" t="s">
        <v>2135</v>
      </c>
      <c r="C16" s="1670"/>
      <c r="D16" s="1670"/>
      <c r="E16" s="1670"/>
      <c r="F16" s="1670"/>
      <c r="G16" s="1670"/>
      <c r="H16" s="1670"/>
      <c r="I16" s="1670"/>
      <c r="J16" s="1670"/>
      <c r="K16" s="1670"/>
      <c r="L16" s="1670"/>
    </row>
    <row r="17" spans="1:12" ht="15.75" customHeight="1">
      <c r="A17" s="5"/>
      <c r="B17" s="5" t="s">
        <v>64</v>
      </c>
      <c r="C17" s="5"/>
      <c r="D17" s="4"/>
      <c r="E17" s="4"/>
      <c r="F17" s="4"/>
      <c r="G17" s="4"/>
      <c r="H17" s="3"/>
      <c r="I17" s="3"/>
      <c r="J17" s="2"/>
      <c r="K17" s="3"/>
      <c r="L17" s="2"/>
    </row>
    <row r="18" spans="1:12" ht="15.75" customHeight="1">
      <c r="A18"/>
      <c r="B18"/>
      <c r="C18"/>
      <c r="D18"/>
      <c r="E18"/>
      <c r="F18"/>
      <c r="G18"/>
      <c r="H18"/>
      <c r="I18"/>
      <c r="J18"/>
      <c r="K18"/>
      <c r="L18"/>
    </row>
    <row r="19" spans="1:12" ht="15.75" customHeight="1">
      <c r="A19"/>
      <c r="B19" s="1288">
        <f>C6-C7+C9*(C7+E8*C6-C6)</f>
        <v>-41750000</v>
      </c>
      <c r="C19"/>
      <c r="D19"/>
      <c r="E19"/>
      <c r="F19"/>
      <c r="G19"/>
      <c r="H19"/>
      <c r="I19"/>
      <c r="J19"/>
      <c r="K19"/>
      <c r="L19"/>
    </row>
    <row r="20" spans="1:12" ht="15.75" customHeight="1">
      <c r="A20"/>
      <c r="B20"/>
      <c r="C20"/>
      <c r="D20"/>
      <c r="E20"/>
      <c r="F20"/>
      <c r="G20"/>
      <c r="H20"/>
      <c r="I20"/>
      <c r="J20"/>
      <c r="K20"/>
      <c r="L20"/>
    </row>
    <row r="21" spans="1:12">
      <c r="A21" s="214" t="s">
        <v>7</v>
      </c>
      <c r="B21" s="1670" t="s">
        <v>2134</v>
      </c>
      <c r="C21" s="1670"/>
      <c r="D21" s="1670"/>
      <c r="E21" s="1670"/>
      <c r="F21" s="1670"/>
      <c r="G21" s="1670"/>
      <c r="H21" s="1670"/>
      <c r="I21" s="1670"/>
      <c r="J21" s="1670"/>
      <c r="K21" s="1670"/>
      <c r="L21" s="1670"/>
    </row>
    <row r="22" spans="1:12" ht="16.2">
      <c r="A22" s="5"/>
      <c r="B22" s="5" t="s">
        <v>64</v>
      </c>
      <c r="C22" s="5"/>
      <c r="D22" s="4"/>
      <c r="E22" s="4"/>
      <c r="F22" s="4"/>
      <c r="G22" s="4"/>
      <c r="H22" s="3"/>
      <c r="I22" s="3"/>
      <c r="J22" s="2"/>
      <c r="K22" s="3"/>
      <c r="L22" s="2"/>
    </row>
    <row r="23" spans="1:12">
      <c r="A23"/>
      <c r="B23"/>
      <c r="C23"/>
      <c r="D23"/>
      <c r="E23"/>
      <c r="F23"/>
      <c r="G23"/>
      <c r="H23"/>
      <c r="I23"/>
      <c r="J23"/>
      <c r="K23"/>
      <c r="L23"/>
    </row>
    <row r="24" spans="1:12">
      <c r="A24"/>
      <c r="B24" s="1288">
        <f>C6-(1-E8)*C8*C6</f>
        <v>4199999.9999999981</v>
      </c>
      <c r="C24"/>
      <c r="D24"/>
      <c r="E24"/>
      <c r="F24"/>
      <c r="G24"/>
      <c r="H24"/>
      <c r="I24"/>
      <c r="J24"/>
      <c r="K24"/>
      <c r="L24"/>
    </row>
    <row r="25" spans="1:12">
      <c r="A25"/>
      <c r="B25"/>
      <c r="C25"/>
      <c r="D25"/>
      <c r="E25"/>
      <c r="F25"/>
      <c r="G25"/>
      <c r="H25"/>
      <c r="I25"/>
      <c r="J25"/>
      <c r="K25"/>
      <c r="L25"/>
    </row>
    <row r="26" spans="1:12">
      <c r="A26" s="214" t="s">
        <v>4</v>
      </c>
      <c r="B26" s="3" t="s">
        <v>2133</v>
      </c>
      <c r="C26" s="3"/>
      <c r="D26" s="3"/>
      <c r="E26" s="3"/>
      <c r="F26" s="3"/>
      <c r="G26" s="3"/>
      <c r="H26" s="3"/>
      <c r="I26" s="3"/>
      <c r="J26" s="3"/>
      <c r="K26" s="3"/>
      <c r="L26" s="3"/>
    </row>
    <row r="27" spans="1:12" ht="15.75" customHeight="1">
      <c r="A27" s="5"/>
      <c r="B27" s="5" t="s">
        <v>64</v>
      </c>
      <c r="C27" s="5"/>
      <c r="D27" s="4"/>
      <c r="E27" s="4"/>
      <c r="F27" s="4"/>
      <c r="G27" s="4"/>
      <c r="H27" s="3"/>
      <c r="I27" s="3"/>
      <c r="J27" s="2"/>
      <c r="K27" s="3"/>
      <c r="L27" s="2"/>
    </row>
    <row r="28" spans="1:12" ht="15.75" customHeight="1">
      <c r="A28" s="139"/>
      <c r="B28" s="139"/>
      <c r="C28" s="139"/>
      <c r="D28" s="139"/>
      <c r="E28" s="139"/>
      <c r="F28" s="139"/>
      <c r="G28" s="139"/>
      <c r="H28" s="139"/>
      <c r="I28" s="139"/>
      <c r="J28" s="139"/>
      <c r="K28" s="139"/>
      <c r="L28" s="139"/>
    </row>
    <row r="29" spans="1:12" ht="15.75" customHeight="1">
      <c r="A29" s="139"/>
      <c r="B29" s="1287">
        <f>B24/(-B19+B24)</f>
        <v>9.1403699673558172E-2</v>
      </c>
      <c r="C29" s="139"/>
      <c r="D29" s="139"/>
      <c r="E29" s="139"/>
      <c r="F29" s="139"/>
      <c r="G29" s="139"/>
      <c r="H29" s="139"/>
      <c r="I29" s="139"/>
      <c r="J29" s="139"/>
      <c r="K29" s="139"/>
      <c r="L29" s="139"/>
    </row>
    <row r="30" spans="1:12" ht="15.75" customHeight="1">
      <c r="A30" s="139"/>
      <c r="B30" s="139"/>
      <c r="C30" s="139"/>
      <c r="D30" s="139"/>
      <c r="E30" s="139"/>
      <c r="F30" s="139"/>
      <c r="G30" s="139"/>
      <c r="H30" s="139"/>
      <c r="I30" s="139"/>
      <c r="J30" s="139"/>
      <c r="K30" s="139"/>
      <c r="L30" s="139"/>
    </row>
    <row r="31" spans="1:12" ht="15.75" customHeight="1">
      <c r="A31" s="3" t="s">
        <v>2132</v>
      </c>
      <c r="B31" s="3"/>
      <c r="C31" s="3"/>
      <c r="D31" s="3"/>
      <c r="E31" s="3"/>
      <c r="F31" s="3"/>
      <c r="G31" s="3"/>
      <c r="H31" s="3"/>
      <c r="I31" s="3"/>
      <c r="J31" s="3"/>
      <c r="K31" s="3"/>
      <c r="L31" s="3"/>
    </row>
    <row r="32" spans="1:12" ht="15.75" customHeight="1">
      <c r="A32" s="3" t="s">
        <v>2131</v>
      </c>
      <c r="B32" s="3"/>
      <c r="C32" s="3"/>
      <c r="D32" s="3"/>
      <c r="E32" s="3"/>
      <c r="F32" s="3"/>
      <c r="G32" s="3"/>
      <c r="H32" s="3"/>
      <c r="I32" s="3"/>
      <c r="J32" s="3"/>
      <c r="K32" s="3"/>
      <c r="L32" s="3"/>
    </row>
    <row r="33" spans="1:12" ht="15.75" customHeight="1">
      <c r="A33" s="3"/>
      <c r="B33" s="3"/>
      <c r="C33" s="3"/>
      <c r="D33" s="3"/>
      <c r="E33" s="3"/>
      <c r="F33" s="3"/>
      <c r="G33" s="3"/>
      <c r="H33" s="3"/>
      <c r="I33" s="3"/>
      <c r="J33" s="3"/>
      <c r="K33" s="3"/>
      <c r="L33" s="3"/>
    </row>
    <row r="34" spans="1:12" ht="15.75" customHeight="1">
      <c r="A34" s="214" t="s">
        <v>48</v>
      </c>
      <c r="B34" s="3" t="s">
        <v>2130</v>
      </c>
      <c r="C34" s="3"/>
      <c r="D34" s="3"/>
      <c r="E34" s="3"/>
      <c r="F34" s="3"/>
      <c r="G34" s="3"/>
      <c r="H34" s="3"/>
      <c r="I34" s="3"/>
      <c r="J34" s="3"/>
      <c r="K34" s="3"/>
      <c r="L34" s="3"/>
    </row>
    <row r="35" spans="1:12" ht="15.75" customHeight="1">
      <c r="A35" s="214"/>
      <c r="B35" s="3" t="s">
        <v>2129</v>
      </c>
      <c r="C35" s="3"/>
      <c r="D35" s="3"/>
      <c r="E35" s="3"/>
      <c r="F35" s="3"/>
      <c r="G35" s="3"/>
      <c r="H35" s="3"/>
      <c r="I35" s="3"/>
      <c r="J35" s="3"/>
      <c r="K35" s="3"/>
      <c r="L35" s="3"/>
    </row>
    <row r="36" spans="1:12" ht="15.75" customHeight="1">
      <c r="A36" s="5"/>
      <c r="B36" s="5" t="s">
        <v>64</v>
      </c>
      <c r="C36" s="5"/>
      <c r="D36" s="4"/>
      <c r="E36" s="4"/>
      <c r="F36" s="4"/>
      <c r="G36" s="4"/>
      <c r="H36" s="3"/>
      <c r="I36" s="3"/>
      <c r="J36" s="2"/>
      <c r="K36" s="3"/>
      <c r="L36" s="2"/>
    </row>
    <row r="37" spans="1:12" ht="15.75" customHeight="1">
      <c r="A37" s="139"/>
      <c r="B37" s="139"/>
      <c r="C37" s="139"/>
      <c r="D37" s="139"/>
      <c r="E37" s="139"/>
      <c r="F37" s="139"/>
      <c r="G37" s="139"/>
      <c r="H37" s="139"/>
      <c r="I37" s="139"/>
      <c r="J37" s="139"/>
      <c r="K37" s="139"/>
      <c r="L37" s="139"/>
    </row>
    <row r="38" spans="1:12" ht="15.75" customHeight="1">
      <c r="A38" s="139"/>
      <c r="B38" s="1286">
        <f>ROUND(0.5+1/B29,0)</f>
        <v>11</v>
      </c>
      <c r="C38" s="139" t="s">
        <v>498</v>
      </c>
      <c r="D38" s="139"/>
      <c r="E38" s="139"/>
      <c r="F38" s="139"/>
      <c r="G38" s="139"/>
      <c r="H38" s="139"/>
      <c r="I38" s="139"/>
      <c r="J38" s="139"/>
      <c r="K38" s="139"/>
      <c r="L38" s="139"/>
    </row>
    <row r="39" spans="1:12" ht="15.75" customHeight="1">
      <c r="A39" s="139"/>
      <c r="B39" s="139"/>
      <c r="C39" s="139"/>
      <c r="D39" s="139"/>
      <c r="E39" s="139"/>
      <c r="F39" s="139"/>
      <c r="G39" s="139"/>
      <c r="H39" s="139"/>
      <c r="I39" s="139"/>
      <c r="J39" s="139"/>
      <c r="K39" s="139"/>
      <c r="L39" s="139"/>
    </row>
    <row r="40" spans="1:12" ht="15.75" customHeight="1">
      <c r="A40" s="3" t="s">
        <v>2128</v>
      </c>
      <c r="B40" s="3"/>
      <c r="C40" s="3"/>
      <c r="D40" s="3"/>
      <c r="E40" s="3"/>
      <c r="F40" s="3"/>
      <c r="G40" s="3"/>
      <c r="H40" s="3"/>
      <c r="I40" s="3"/>
      <c r="J40" s="3"/>
      <c r="K40" s="3"/>
      <c r="L40" s="3"/>
    </row>
    <row r="41" spans="1:12" ht="15.75" customHeight="1">
      <c r="A41" s="3"/>
      <c r="B41" s="3"/>
      <c r="C41" s="3"/>
      <c r="D41" s="3"/>
      <c r="E41" s="3"/>
      <c r="F41" s="3"/>
      <c r="G41" s="3"/>
      <c r="H41" s="3"/>
      <c r="I41" s="3"/>
      <c r="J41" s="3"/>
      <c r="K41" s="3"/>
      <c r="L41" s="3"/>
    </row>
    <row r="42" spans="1:12" ht="15.75" customHeight="1">
      <c r="A42" s="214" t="s">
        <v>129</v>
      </c>
      <c r="B42" s="3" t="s">
        <v>2127</v>
      </c>
      <c r="C42" s="3"/>
      <c r="D42" s="3"/>
      <c r="E42" s="3"/>
      <c r="F42" s="3"/>
      <c r="G42" s="3"/>
      <c r="H42" s="3"/>
      <c r="I42" s="3"/>
      <c r="J42" s="3"/>
      <c r="K42" s="3"/>
      <c r="L42" s="3"/>
    </row>
    <row r="43" spans="1:12" ht="15.75" customHeight="1">
      <c r="A43" s="5"/>
      <c r="B43" s="5" t="s">
        <v>64</v>
      </c>
      <c r="C43" s="5"/>
      <c r="D43" s="4"/>
      <c r="E43" s="4"/>
      <c r="F43" s="4"/>
      <c r="G43" s="4"/>
      <c r="H43" s="3"/>
      <c r="I43" s="3"/>
      <c r="J43" s="2"/>
      <c r="K43" s="3"/>
      <c r="L43" s="2"/>
    </row>
    <row r="44" spans="1:12" ht="15.75" customHeight="1">
      <c r="A44" s="139"/>
      <c r="B44" s="139"/>
      <c r="C44" s="139"/>
      <c r="D44" s="139"/>
      <c r="E44" s="139"/>
      <c r="F44" s="139"/>
      <c r="G44" s="139"/>
      <c r="H44" s="139"/>
      <c r="I44" s="139"/>
      <c r="J44" s="139"/>
      <c r="K44" s="139"/>
      <c r="L44" s="139"/>
    </row>
    <row r="45" spans="1:12" ht="15.75" customHeight="1">
      <c r="A45" s="139"/>
      <c r="B45" s="1927" t="s">
        <v>2126</v>
      </c>
      <c r="C45" s="1927"/>
      <c r="D45" s="1927"/>
      <c r="E45" s="1927"/>
      <c r="F45" s="1927"/>
      <c r="G45" s="1927"/>
      <c r="H45" s="1927"/>
      <c r="I45" s="1927"/>
      <c r="J45" s="1927"/>
      <c r="K45" s="139"/>
      <c r="L45" s="139"/>
    </row>
    <row r="46" spans="1:12" ht="15.75" customHeight="1">
      <c r="A46" s="139"/>
      <c r="B46" s="1927"/>
      <c r="C46" s="1927"/>
      <c r="D46" s="1927"/>
      <c r="E46" s="1927"/>
      <c r="F46" s="1927"/>
      <c r="G46" s="1927"/>
      <c r="H46" s="1927"/>
      <c r="I46" s="1927"/>
      <c r="J46" s="1927"/>
      <c r="K46" s="139"/>
      <c r="L46" s="139"/>
    </row>
    <row r="47" spans="1:12">
      <c r="A47" s="139"/>
      <c r="B47" s="1927"/>
      <c r="C47" s="1927"/>
      <c r="D47" s="1927"/>
      <c r="E47" s="1927"/>
      <c r="F47" s="1927"/>
      <c r="G47" s="1927"/>
      <c r="H47" s="1927"/>
      <c r="I47" s="1927"/>
      <c r="J47" s="1927"/>
      <c r="K47" s="139"/>
      <c r="L47" s="139"/>
    </row>
    <row r="48" spans="1:12">
      <c r="A48" s="139"/>
      <c r="B48" s="139"/>
      <c r="C48" s="139"/>
      <c r="D48" s="139"/>
      <c r="E48" s="139"/>
      <c r="F48" s="139"/>
      <c r="G48" s="139"/>
      <c r="H48" s="139"/>
      <c r="I48" s="139"/>
      <c r="J48" s="139"/>
      <c r="K48" s="139"/>
      <c r="L48" s="139"/>
    </row>
    <row r="49" spans="1:12">
      <c r="A49" s="139"/>
      <c r="B49" s="139"/>
      <c r="C49" s="139"/>
      <c r="D49" s="139"/>
      <c r="E49" s="139"/>
      <c r="F49" s="139"/>
      <c r="G49" s="139"/>
      <c r="H49" s="139"/>
      <c r="I49" s="139"/>
      <c r="J49" s="139"/>
      <c r="K49" s="139"/>
      <c r="L49" s="139"/>
    </row>
    <row r="50" spans="1:12">
      <c r="A50" s="139"/>
      <c r="B50" s="139"/>
      <c r="C50" s="139"/>
      <c r="D50" s="139"/>
      <c r="E50" s="139"/>
      <c r="F50" s="139"/>
      <c r="G50" s="139"/>
      <c r="H50" s="139"/>
      <c r="I50" s="139"/>
      <c r="J50" s="139"/>
      <c r="K50" s="139"/>
      <c r="L50" s="139"/>
    </row>
    <row r="51" spans="1:12">
      <c r="A51" s="139"/>
      <c r="B51" s="139"/>
      <c r="C51" s="139"/>
      <c r="D51" s="139"/>
      <c r="E51" s="139"/>
      <c r="F51" s="139"/>
      <c r="G51" s="139"/>
      <c r="H51" s="139"/>
      <c r="I51" s="139"/>
      <c r="J51" s="139"/>
      <c r="K51" s="139"/>
      <c r="L51" s="139"/>
    </row>
    <row r="52" spans="1:12">
      <c r="A52" s="139"/>
      <c r="B52" s="139"/>
      <c r="C52" s="139"/>
      <c r="D52" s="139"/>
      <c r="E52" s="139"/>
      <c r="F52" s="139"/>
      <c r="G52" s="139"/>
      <c r="H52" s="139"/>
      <c r="I52" s="139"/>
      <c r="J52" s="139"/>
      <c r="K52" s="139"/>
      <c r="L52" s="139"/>
    </row>
    <row r="53" spans="1:12">
      <c r="A53" s="139"/>
      <c r="B53" s="139"/>
      <c r="C53" s="139"/>
      <c r="D53" s="139"/>
      <c r="E53" s="139"/>
      <c r="F53" s="139"/>
      <c r="G53" s="139"/>
      <c r="H53" s="139"/>
      <c r="I53" s="139"/>
      <c r="J53" s="139"/>
      <c r="K53" s="139"/>
      <c r="L53" s="139"/>
    </row>
    <row r="323" spans="1:12">
      <c r="A323"/>
      <c r="B323"/>
      <c r="C323"/>
      <c r="D323"/>
      <c r="E323"/>
      <c r="F323"/>
      <c r="G323"/>
      <c r="H323"/>
      <c r="I323"/>
      <c r="J323"/>
      <c r="K323"/>
      <c r="L323"/>
    </row>
    <row r="324" spans="1:12">
      <c r="A324"/>
      <c r="B324"/>
      <c r="C324"/>
      <c r="D324"/>
      <c r="E324"/>
      <c r="F324"/>
      <c r="G324"/>
      <c r="H324"/>
      <c r="I324"/>
      <c r="J324"/>
      <c r="K324"/>
      <c r="L324"/>
    </row>
    <row r="325" spans="1:12">
      <c r="A325"/>
      <c r="B325"/>
      <c r="C325"/>
      <c r="D325"/>
      <c r="E325"/>
      <c r="F325"/>
      <c r="G325"/>
      <c r="H325"/>
      <c r="I325"/>
      <c r="J325"/>
      <c r="K325"/>
      <c r="L325"/>
    </row>
    <row r="326" spans="1:12">
      <c r="A326"/>
      <c r="B326"/>
      <c r="C326"/>
      <c r="D326"/>
      <c r="E326"/>
      <c r="F326"/>
      <c r="G326"/>
      <c r="H326"/>
      <c r="I326"/>
      <c r="J326"/>
      <c r="K326"/>
      <c r="L326"/>
    </row>
    <row r="327" spans="1:12">
      <c r="A327"/>
      <c r="B327"/>
      <c r="C327"/>
      <c r="D327"/>
      <c r="E327"/>
      <c r="F327"/>
      <c r="G327"/>
      <c r="H327"/>
      <c r="I327"/>
      <c r="J327"/>
      <c r="K327"/>
      <c r="L327"/>
    </row>
    <row r="328" spans="1:12">
      <c r="A328"/>
      <c r="B328"/>
      <c r="C328"/>
      <c r="D328"/>
      <c r="E328"/>
      <c r="F328"/>
      <c r="G328"/>
      <c r="H328"/>
      <c r="I328"/>
      <c r="J328"/>
      <c r="K328"/>
      <c r="L328"/>
    </row>
    <row r="329" spans="1:12">
      <c r="A329"/>
      <c r="B329"/>
      <c r="C329"/>
      <c r="D329"/>
      <c r="E329"/>
      <c r="F329"/>
      <c r="G329"/>
      <c r="H329"/>
      <c r="I329"/>
      <c r="J329"/>
      <c r="K329"/>
      <c r="L329"/>
    </row>
    <row r="330" spans="1:12">
      <c r="A330"/>
      <c r="B330"/>
      <c r="C330"/>
      <c r="D330"/>
      <c r="E330"/>
      <c r="F330"/>
      <c r="G330"/>
      <c r="H330"/>
      <c r="I330"/>
      <c r="J330"/>
      <c r="K330"/>
      <c r="L330"/>
    </row>
    <row r="331" spans="1:12">
      <c r="A331"/>
      <c r="B331"/>
      <c r="C331"/>
      <c r="D331"/>
      <c r="E331"/>
      <c r="F331"/>
      <c r="G331"/>
      <c r="H331"/>
      <c r="I331"/>
      <c r="J331"/>
      <c r="K331"/>
      <c r="L331"/>
    </row>
    <row r="332" spans="1:12">
      <c r="A332"/>
      <c r="B332"/>
      <c r="C332"/>
      <c r="D332"/>
      <c r="E332"/>
      <c r="F332"/>
      <c r="G332"/>
      <c r="H332"/>
      <c r="I332"/>
      <c r="J332"/>
      <c r="K332"/>
      <c r="L332"/>
    </row>
    <row r="333" spans="1:12">
      <c r="A333"/>
      <c r="B333"/>
      <c r="C333"/>
      <c r="D333"/>
      <c r="E333"/>
      <c r="F333"/>
      <c r="G333"/>
      <c r="H333"/>
      <c r="I333"/>
      <c r="J333"/>
      <c r="K333"/>
      <c r="L333"/>
    </row>
    <row r="334" spans="1:12">
      <c r="A334"/>
      <c r="B334"/>
      <c r="C334"/>
      <c r="D334"/>
      <c r="E334"/>
      <c r="F334"/>
      <c r="G334"/>
      <c r="H334"/>
      <c r="I334"/>
      <c r="J334"/>
      <c r="K334"/>
      <c r="L334"/>
    </row>
    <row r="335" spans="1:12">
      <c r="A335"/>
      <c r="B335"/>
      <c r="C335"/>
      <c r="D335"/>
      <c r="E335"/>
      <c r="F335"/>
      <c r="G335"/>
      <c r="H335"/>
      <c r="I335"/>
      <c r="J335"/>
      <c r="K335"/>
      <c r="L335"/>
    </row>
    <row r="336" spans="1:12">
      <c r="A336"/>
      <c r="B336"/>
      <c r="C336"/>
      <c r="D336"/>
      <c r="E336"/>
      <c r="F336"/>
      <c r="G336"/>
      <c r="H336"/>
      <c r="I336"/>
      <c r="J336"/>
      <c r="K336"/>
      <c r="L336"/>
    </row>
    <row r="337" spans="1:12">
      <c r="A337"/>
      <c r="B337"/>
      <c r="C337"/>
      <c r="D337"/>
      <c r="E337"/>
      <c r="F337"/>
      <c r="G337"/>
      <c r="H337"/>
      <c r="I337"/>
      <c r="J337"/>
      <c r="K337"/>
      <c r="L337"/>
    </row>
    <row r="338" spans="1:12">
      <c r="A338"/>
      <c r="B338"/>
      <c r="C338"/>
      <c r="D338"/>
      <c r="E338"/>
      <c r="F338"/>
      <c r="G338"/>
      <c r="H338"/>
      <c r="I338"/>
      <c r="J338"/>
      <c r="K338"/>
      <c r="L338"/>
    </row>
    <row r="339" spans="1:12">
      <c r="A339"/>
      <c r="B339"/>
      <c r="C339"/>
      <c r="D339"/>
      <c r="E339"/>
      <c r="F339"/>
      <c r="G339"/>
      <c r="H339"/>
      <c r="I339"/>
      <c r="J339"/>
      <c r="K339"/>
      <c r="L339"/>
    </row>
    <row r="340" spans="1:12">
      <c r="A340"/>
      <c r="B340"/>
      <c r="C340"/>
      <c r="D340"/>
      <c r="E340"/>
      <c r="F340"/>
      <c r="G340"/>
      <c r="H340"/>
      <c r="I340"/>
      <c r="J340"/>
      <c r="K340"/>
      <c r="L340"/>
    </row>
    <row r="341" spans="1:12">
      <c r="A341"/>
      <c r="B341"/>
      <c r="C341"/>
      <c r="D341"/>
      <c r="E341"/>
      <c r="F341"/>
      <c r="G341"/>
      <c r="H341"/>
      <c r="I341"/>
      <c r="J341"/>
      <c r="K341"/>
      <c r="L341"/>
    </row>
    <row r="342" spans="1:12">
      <c r="A342"/>
      <c r="B342"/>
      <c r="C342"/>
      <c r="D342"/>
      <c r="E342"/>
      <c r="F342"/>
      <c r="G342"/>
      <c r="H342"/>
      <c r="I342"/>
      <c r="J342"/>
      <c r="K342"/>
      <c r="L342"/>
    </row>
    <row r="343" spans="1:12">
      <c r="A343"/>
      <c r="B343"/>
      <c r="C343"/>
      <c r="D343"/>
      <c r="E343"/>
      <c r="F343"/>
      <c r="G343"/>
      <c r="H343"/>
      <c r="I343"/>
      <c r="J343"/>
      <c r="K343"/>
      <c r="L343"/>
    </row>
    <row r="344" spans="1:12">
      <c r="A344"/>
      <c r="B344"/>
      <c r="C344"/>
      <c r="D344"/>
      <c r="E344"/>
      <c r="F344"/>
      <c r="G344"/>
      <c r="H344"/>
      <c r="I344"/>
      <c r="J344"/>
      <c r="K344"/>
      <c r="L344"/>
    </row>
    <row r="345" spans="1:12">
      <c r="A345"/>
      <c r="B345"/>
      <c r="C345"/>
      <c r="D345"/>
      <c r="E345"/>
      <c r="F345"/>
      <c r="G345"/>
      <c r="H345"/>
      <c r="I345"/>
      <c r="J345"/>
      <c r="K345"/>
      <c r="L345"/>
    </row>
    <row r="346" spans="1:12">
      <c r="A346"/>
      <c r="B346"/>
      <c r="C346"/>
      <c r="D346"/>
      <c r="E346"/>
      <c r="F346"/>
      <c r="G346"/>
      <c r="H346"/>
      <c r="I346"/>
      <c r="J346"/>
      <c r="K346"/>
      <c r="L346"/>
    </row>
    <row r="347" spans="1:12">
      <c r="A347"/>
      <c r="B347"/>
      <c r="C347"/>
      <c r="D347"/>
      <c r="E347"/>
      <c r="F347"/>
      <c r="G347"/>
      <c r="H347"/>
      <c r="I347"/>
      <c r="J347"/>
      <c r="K347"/>
      <c r="L347"/>
    </row>
    <row r="348" spans="1:12">
      <c r="A348"/>
      <c r="B348"/>
      <c r="C348"/>
      <c r="D348"/>
      <c r="E348"/>
      <c r="F348"/>
      <c r="G348"/>
      <c r="H348"/>
      <c r="I348"/>
      <c r="J348"/>
      <c r="K348"/>
      <c r="L348"/>
    </row>
    <row r="349" spans="1:12">
      <c r="A349"/>
      <c r="B349"/>
      <c r="C349"/>
      <c r="D349"/>
      <c r="E349"/>
      <c r="F349"/>
      <c r="G349"/>
      <c r="H349"/>
      <c r="I349"/>
      <c r="J349"/>
      <c r="K349"/>
      <c r="L349"/>
    </row>
    <row r="350" spans="1:12">
      <c r="A350"/>
      <c r="B350"/>
      <c r="C350"/>
      <c r="D350"/>
      <c r="E350"/>
      <c r="F350"/>
      <c r="G350"/>
      <c r="H350"/>
      <c r="I350"/>
      <c r="J350"/>
      <c r="K350"/>
      <c r="L350"/>
    </row>
    <row r="351" spans="1:12">
      <c r="A351"/>
      <c r="B351"/>
      <c r="C351"/>
      <c r="D351"/>
      <c r="E351"/>
      <c r="F351"/>
      <c r="G351"/>
      <c r="H351"/>
      <c r="I351"/>
      <c r="J351"/>
      <c r="K351"/>
      <c r="L351"/>
    </row>
    <row r="352" spans="1:12">
      <c r="A352"/>
      <c r="B352"/>
      <c r="C352"/>
      <c r="D352"/>
      <c r="E352"/>
      <c r="F352"/>
      <c r="G352"/>
      <c r="H352"/>
      <c r="I352"/>
      <c r="J352"/>
      <c r="K352"/>
      <c r="L352"/>
    </row>
    <row r="353" spans="1:12">
      <c r="A353"/>
      <c r="B353"/>
      <c r="C353"/>
      <c r="D353"/>
      <c r="E353"/>
      <c r="F353"/>
      <c r="G353"/>
      <c r="H353"/>
      <c r="I353"/>
      <c r="J353"/>
      <c r="K353"/>
      <c r="L353"/>
    </row>
    <row r="354" spans="1:12">
      <c r="A354"/>
      <c r="B354"/>
      <c r="C354"/>
      <c r="D354"/>
      <c r="E354"/>
      <c r="F354"/>
      <c r="G354"/>
      <c r="H354"/>
      <c r="I354"/>
      <c r="J354"/>
      <c r="K354"/>
      <c r="L354"/>
    </row>
    <row r="355" spans="1:12">
      <c r="A355"/>
      <c r="B355"/>
      <c r="C355"/>
      <c r="D355"/>
      <c r="E355"/>
      <c r="F355"/>
      <c r="G355"/>
      <c r="H355"/>
      <c r="I355"/>
      <c r="J355"/>
      <c r="K355"/>
      <c r="L355"/>
    </row>
    <row r="356" spans="1:12">
      <c r="A356"/>
      <c r="B356"/>
      <c r="C356"/>
      <c r="D356"/>
      <c r="E356"/>
      <c r="F356"/>
      <c r="G356"/>
      <c r="H356"/>
      <c r="I356"/>
      <c r="J356"/>
      <c r="K356"/>
      <c r="L356"/>
    </row>
    <row r="357" spans="1:12">
      <c r="A357"/>
      <c r="B357"/>
      <c r="C357"/>
      <c r="D357"/>
      <c r="E357"/>
      <c r="F357"/>
      <c r="G357"/>
      <c r="H357"/>
      <c r="I357"/>
      <c r="J357"/>
      <c r="K357"/>
      <c r="L357"/>
    </row>
    <row r="358" spans="1:12">
      <c r="A358"/>
      <c r="B358"/>
      <c r="C358"/>
      <c r="D358"/>
      <c r="E358"/>
      <c r="F358"/>
      <c r="G358"/>
      <c r="H358"/>
      <c r="I358"/>
      <c r="J358"/>
      <c r="K358"/>
      <c r="L358"/>
    </row>
    <row r="359" spans="1:12">
      <c r="A359"/>
      <c r="B359"/>
      <c r="C359"/>
      <c r="D359"/>
      <c r="E359"/>
      <c r="F359"/>
      <c r="G359"/>
      <c r="H359"/>
      <c r="I359"/>
      <c r="J359"/>
      <c r="K359"/>
      <c r="L359"/>
    </row>
    <row r="360" spans="1:12">
      <c r="A360"/>
      <c r="B360"/>
      <c r="C360"/>
      <c r="D360"/>
      <c r="E360"/>
      <c r="F360"/>
      <c r="G360"/>
      <c r="H360"/>
      <c r="I360"/>
      <c r="J360"/>
      <c r="K360"/>
      <c r="L360"/>
    </row>
    <row r="361" spans="1:12">
      <c r="A361"/>
      <c r="B361"/>
      <c r="C361"/>
      <c r="D361"/>
      <c r="E361"/>
      <c r="F361"/>
      <c r="G361"/>
      <c r="H361"/>
      <c r="I361"/>
      <c r="J361"/>
      <c r="K361"/>
      <c r="L361"/>
    </row>
    <row r="362" spans="1:12">
      <c r="A362"/>
      <c r="B362"/>
      <c r="C362"/>
      <c r="D362"/>
      <c r="E362"/>
      <c r="F362"/>
      <c r="G362"/>
      <c r="H362"/>
      <c r="I362"/>
      <c r="J362"/>
      <c r="K362"/>
      <c r="L362"/>
    </row>
    <row r="363" spans="1:12">
      <c r="A363"/>
      <c r="B363"/>
      <c r="C363"/>
      <c r="D363"/>
      <c r="E363"/>
      <c r="F363"/>
      <c r="G363"/>
      <c r="H363"/>
      <c r="I363"/>
      <c r="J363"/>
      <c r="K363"/>
      <c r="L363"/>
    </row>
    <row r="364" spans="1:12">
      <c r="A364"/>
      <c r="B364"/>
      <c r="C364"/>
      <c r="D364"/>
      <c r="E364"/>
      <c r="F364"/>
      <c r="G364"/>
      <c r="H364"/>
      <c r="I364"/>
      <c r="J364"/>
      <c r="K364"/>
      <c r="L364"/>
    </row>
    <row r="365" spans="1:12">
      <c r="A365"/>
      <c r="B365"/>
      <c r="C365"/>
      <c r="D365"/>
      <c r="E365"/>
      <c r="F365"/>
      <c r="G365"/>
      <c r="H365"/>
      <c r="I365"/>
      <c r="J365"/>
      <c r="K365"/>
      <c r="L365"/>
    </row>
    <row r="366" spans="1:12">
      <c r="A366"/>
      <c r="B366"/>
      <c r="C366"/>
      <c r="D366"/>
      <c r="E366"/>
      <c r="F366"/>
      <c r="G366"/>
      <c r="H366"/>
      <c r="I366"/>
      <c r="J366"/>
      <c r="K366"/>
      <c r="L366"/>
    </row>
    <row r="367" spans="1:12">
      <c r="A367"/>
      <c r="B367"/>
      <c r="C367"/>
      <c r="D367"/>
      <c r="E367"/>
      <c r="F367"/>
      <c r="G367"/>
      <c r="H367"/>
      <c r="I367"/>
      <c r="J367"/>
      <c r="K367"/>
      <c r="L367"/>
    </row>
    <row r="368" spans="1:12">
      <c r="A368"/>
      <c r="B368"/>
      <c r="C368"/>
      <c r="D368"/>
      <c r="E368"/>
      <c r="F368"/>
      <c r="G368"/>
      <c r="H368"/>
      <c r="I368"/>
      <c r="J368"/>
      <c r="K368"/>
      <c r="L368"/>
    </row>
    <row r="369" spans="1:12">
      <c r="A369"/>
      <c r="B369"/>
      <c r="C369"/>
      <c r="D369"/>
      <c r="E369"/>
      <c r="F369"/>
      <c r="G369"/>
      <c r="H369"/>
      <c r="I369"/>
      <c r="J369"/>
      <c r="K369"/>
      <c r="L369"/>
    </row>
    <row r="370" spans="1:12">
      <c r="A370"/>
      <c r="B370"/>
      <c r="C370"/>
      <c r="D370"/>
      <c r="E370"/>
      <c r="F370"/>
      <c r="G370"/>
      <c r="H370"/>
      <c r="I370"/>
      <c r="J370"/>
      <c r="K370"/>
      <c r="L370"/>
    </row>
    <row r="371" spans="1:12">
      <c r="A371"/>
      <c r="B371"/>
      <c r="C371"/>
      <c r="D371"/>
      <c r="E371"/>
      <c r="F371"/>
      <c r="G371"/>
      <c r="H371"/>
      <c r="I371"/>
      <c r="J371"/>
      <c r="K371"/>
      <c r="L371"/>
    </row>
    <row r="372" spans="1:12">
      <c r="A372"/>
      <c r="B372"/>
      <c r="C372"/>
      <c r="D372"/>
      <c r="E372"/>
      <c r="F372"/>
      <c r="G372"/>
      <c r="H372"/>
      <c r="I372"/>
      <c r="J372"/>
      <c r="K372"/>
      <c r="L372"/>
    </row>
    <row r="373" spans="1:12">
      <c r="A373"/>
      <c r="B373"/>
      <c r="C373"/>
      <c r="D373"/>
      <c r="E373"/>
      <c r="F373"/>
      <c r="G373"/>
      <c r="H373"/>
      <c r="I373"/>
      <c r="J373"/>
      <c r="K373"/>
      <c r="L373"/>
    </row>
    <row r="374" spans="1:12">
      <c r="A374"/>
      <c r="B374"/>
      <c r="C374"/>
      <c r="D374"/>
      <c r="E374"/>
      <c r="F374"/>
      <c r="G374"/>
      <c r="H374"/>
      <c r="I374"/>
      <c r="J374"/>
      <c r="K374"/>
      <c r="L374"/>
    </row>
    <row r="375" spans="1:12">
      <c r="A375"/>
      <c r="B375"/>
      <c r="C375"/>
      <c r="D375"/>
      <c r="E375"/>
      <c r="F375"/>
      <c r="G375"/>
      <c r="H375"/>
      <c r="I375"/>
      <c r="J375"/>
      <c r="K375"/>
      <c r="L375"/>
    </row>
    <row r="376" spans="1:12">
      <c r="A376"/>
      <c r="B376"/>
      <c r="C376"/>
      <c r="D376"/>
      <c r="E376"/>
      <c r="F376"/>
      <c r="G376"/>
      <c r="H376"/>
      <c r="I376"/>
      <c r="J376"/>
      <c r="K376"/>
      <c r="L376"/>
    </row>
    <row r="377" spans="1:12">
      <c r="A377"/>
      <c r="B377"/>
      <c r="C377"/>
      <c r="D377"/>
      <c r="E377"/>
      <c r="F377"/>
      <c r="G377"/>
      <c r="H377"/>
      <c r="I377"/>
      <c r="J377"/>
      <c r="K377"/>
      <c r="L377"/>
    </row>
    <row r="378" spans="1:12">
      <c r="A378"/>
      <c r="B378"/>
      <c r="C378"/>
      <c r="D378"/>
      <c r="E378"/>
      <c r="F378"/>
      <c r="G378"/>
      <c r="H378"/>
      <c r="I378"/>
      <c r="J378"/>
      <c r="K378"/>
      <c r="L378"/>
    </row>
    <row r="379" spans="1:12">
      <c r="A379"/>
      <c r="B379"/>
      <c r="C379"/>
      <c r="D379"/>
      <c r="E379"/>
      <c r="F379"/>
      <c r="G379"/>
      <c r="H379"/>
      <c r="I379"/>
      <c r="J379"/>
      <c r="K379"/>
      <c r="L379"/>
    </row>
    <row r="380" spans="1:12">
      <c r="A380"/>
      <c r="B380"/>
      <c r="C380"/>
      <c r="D380"/>
      <c r="E380"/>
      <c r="F380"/>
      <c r="G380"/>
      <c r="H380"/>
      <c r="I380"/>
      <c r="J380"/>
      <c r="K380"/>
      <c r="L380"/>
    </row>
    <row r="381" spans="1:12">
      <c r="A381"/>
      <c r="B381"/>
      <c r="C381"/>
      <c r="D381"/>
      <c r="E381"/>
      <c r="F381"/>
      <c r="G381"/>
      <c r="H381"/>
      <c r="I381"/>
      <c r="J381"/>
      <c r="K381"/>
      <c r="L381"/>
    </row>
    <row r="382" spans="1:12">
      <c r="A382"/>
      <c r="B382"/>
      <c r="C382"/>
      <c r="D382"/>
      <c r="E382"/>
      <c r="F382"/>
      <c r="G382"/>
      <c r="H382"/>
      <c r="I382"/>
      <c r="J382"/>
      <c r="K382"/>
      <c r="L382"/>
    </row>
    <row r="383" spans="1:12">
      <c r="A383"/>
      <c r="B383"/>
      <c r="C383"/>
      <c r="D383"/>
      <c r="E383"/>
      <c r="F383"/>
      <c r="G383"/>
      <c r="H383"/>
      <c r="I383"/>
      <c r="J383"/>
      <c r="K383"/>
      <c r="L383"/>
    </row>
    <row r="384" spans="1:12">
      <c r="A384"/>
      <c r="B384"/>
      <c r="C384"/>
      <c r="D384"/>
      <c r="E384"/>
      <c r="F384"/>
      <c r="G384"/>
      <c r="H384"/>
      <c r="I384"/>
      <c r="J384"/>
      <c r="K384"/>
      <c r="L384"/>
    </row>
    <row r="385" spans="1:12">
      <c r="A385"/>
      <c r="B385"/>
      <c r="C385"/>
      <c r="D385"/>
      <c r="E385"/>
      <c r="F385"/>
      <c r="G385"/>
      <c r="H385"/>
      <c r="I385"/>
      <c r="J385"/>
      <c r="K385"/>
      <c r="L385"/>
    </row>
    <row r="386" spans="1:12">
      <c r="A386"/>
      <c r="B386"/>
      <c r="C386"/>
      <c r="D386"/>
      <c r="E386"/>
      <c r="F386"/>
      <c r="G386"/>
      <c r="H386"/>
      <c r="I386"/>
      <c r="J386"/>
      <c r="K386"/>
      <c r="L386"/>
    </row>
    <row r="387" spans="1:12">
      <c r="A387"/>
      <c r="B387"/>
      <c r="C387"/>
      <c r="D387"/>
      <c r="E387"/>
      <c r="F387"/>
      <c r="G387"/>
      <c r="H387"/>
      <c r="I387"/>
      <c r="J387"/>
      <c r="K387"/>
      <c r="L387"/>
    </row>
    <row r="388" spans="1:12">
      <c r="A388"/>
      <c r="B388"/>
      <c r="C388"/>
      <c r="D388"/>
      <c r="E388"/>
      <c r="F388"/>
      <c r="G388"/>
      <c r="H388"/>
      <c r="I388"/>
      <c r="J388"/>
      <c r="K388"/>
      <c r="L388"/>
    </row>
    <row r="389" spans="1:12">
      <c r="A389"/>
      <c r="B389"/>
      <c r="C389"/>
      <c r="D389"/>
      <c r="E389"/>
      <c r="F389"/>
      <c r="G389"/>
      <c r="H389"/>
      <c r="I389"/>
      <c r="J389"/>
      <c r="K389"/>
      <c r="L389"/>
    </row>
    <row r="390" spans="1:12">
      <c r="A390"/>
      <c r="B390"/>
      <c r="C390"/>
      <c r="D390"/>
      <c r="E390"/>
      <c r="F390"/>
      <c r="G390"/>
      <c r="H390"/>
      <c r="I390"/>
      <c r="J390"/>
      <c r="K390"/>
      <c r="L390"/>
    </row>
    <row r="391" spans="1:12">
      <c r="A391"/>
      <c r="B391"/>
      <c r="C391"/>
      <c r="D391"/>
      <c r="E391"/>
      <c r="F391"/>
      <c r="G391"/>
      <c r="H391"/>
      <c r="I391"/>
      <c r="J391"/>
      <c r="K391"/>
      <c r="L391"/>
    </row>
    <row r="392" spans="1:12">
      <c r="A392"/>
      <c r="B392"/>
      <c r="C392"/>
      <c r="D392"/>
      <c r="E392"/>
      <c r="F392"/>
      <c r="G392"/>
      <c r="H392"/>
      <c r="I392"/>
      <c r="J392"/>
      <c r="K392"/>
      <c r="L392"/>
    </row>
    <row r="393" spans="1:12">
      <c r="A393"/>
      <c r="B393"/>
      <c r="C393"/>
      <c r="D393"/>
      <c r="E393"/>
      <c r="F393"/>
      <c r="G393"/>
      <c r="H393"/>
      <c r="I393"/>
      <c r="J393"/>
      <c r="K393"/>
      <c r="L393"/>
    </row>
    <row r="394" spans="1:12">
      <c r="A394"/>
      <c r="B394"/>
      <c r="C394"/>
      <c r="D394"/>
      <c r="E394"/>
      <c r="F394"/>
      <c r="G394"/>
      <c r="H394"/>
      <c r="I394"/>
      <c r="J394"/>
      <c r="K394"/>
      <c r="L394"/>
    </row>
    <row r="395" spans="1:12">
      <c r="A395"/>
      <c r="B395"/>
      <c r="C395"/>
      <c r="D395"/>
      <c r="E395"/>
      <c r="F395"/>
      <c r="G395"/>
      <c r="H395"/>
      <c r="I395"/>
      <c r="J395"/>
      <c r="K395"/>
      <c r="L395"/>
    </row>
    <row r="396" spans="1:12">
      <c r="A396"/>
      <c r="B396"/>
      <c r="C396"/>
      <c r="D396"/>
      <c r="E396"/>
      <c r="F396"/>
      <c r="G396"/>
      <c r="H396"/>
      <c r="I396"/>
      <c r="J396"/>
      <c r="K396"/>
      <c r="L396"/>
    </row>
    <row r="397" spans="1:12">
      <c r="A397"/>
      <c r="B397"/>
      <c r="C397"/>
      <c r="D397"/>
      <c r="E397"/>
      <c r="F397"/>
      <c r="G397"/>
      <c r="H397"/>
      <c r="I397"/>
      <c r="J397"/>
      <c r="K397"/>
      <c r="L397"/>
    </row>
    <row r="398" spans="1:12">
      <c r="A398"/>
      <c r="B398"/>
      <c r="C398"/>
      <c r="D398"/>
      <c r="E398"/>
      <c r="F398"/>
      <c r="G398"/>
      <c r="H398"/>
      <c r="I398"/>
      <c r="J398"/>
      <c r="K398"/>
      <c r="L398"/>
    </row>
    <row r="399" spans="1:12">
      <c r="A399"/>
      <c r="B399"/>
      <c r="C399"/>
      <c r="D399"/>
      <c r="E399"/>
      <c r="F399"/>
      <c r="G399"/>
      <c r="H399"/>
      <c r="I399"/>
      <c r="J399"/>
      <c r="K399"/>
      <c r="L399"/>
    </row>
    <row r="400" spans="1:12">
      <c r="A400"/>
      <c r="B400"/>
      <c r="C400"/>
      <c r="D400"/>
      <c r="E400"/>
      <c r="F400"/>
      <c r="G400"/>
      <c r="H400"/>
      <c r="I400"/>
      <c r="J400"/>
      <c r="K400"/>
      <c r="L400"/>
    </row>
    <row r="401" spans="1:12">
      <c r="A401"/>
      <c r="B401"/>
      <c r="C401"/>
      <c r="D401"/>
      <c r="E401"/>
      <c r="F401"/>
      <c r="G401"/>
      <c r="H401"/>
      <c r="I401"/>
      <c r="J401"/>
      <c r="K401"/>
      <c r="L401"/>
    </row>
    <row r="402" spans="1:12">
      <c r="A402"/>
      <c r="B402"/>
      <c r="C402"/>
      <c r="D402"/>
      <c r="E402"/>
      <c r="F402"/>
      <c r="G402"/>
      <c r="H402"/>
      <c r="I402"/>
      <c r="J402"/>
      <c r="K402"/>
      <c r="L402"/>
    </row>
    <row r="403" spans="1:12">
      <c r="A403"/>
      <c r="B403"/>
      <c r="C403"/>
      <c r="D403"/>
      <c r="E403"/>
      <c r="F403"/>
      <c r="G403"/>
      <c r="H403"/>
      <c r="I403"/>
      <c r="J403"/>
      <c r="K403"/>
      <c r="L403"/>
    </row>
    <row r="404" spans="1:12">
      <c r="A404"/>
      <c r="B404"/>
      <c r="C404"/>
      <c r="D404"/>
      <c r="E404"/>
      <c r="F404"/>
      <c r="G404"/>
      <c r="H404"/>
      <c r="I404"/>
      <c r="J404"/>
      <c r="K404"/>
      <c r="L404"/>
    </row>
    <row r="405" spans="1:12">
      <c r="A405"/>
      <c r="B405"/>
      <c r="C405"/>
      <c r="D405"/>
      <c r="E405"/>
      <c r="F405"/>
      <c r="G405"/>
      <c r="H405"/>
      <c r="I405"/>
      <c r="J405"/>
      <c r="K405"/>
      <c r="L405"/>
    </row>
    <row r="406" spans="1:12">
      <c r="A406"/>
      <c r="B406"/>
      <c r="C406"/>
      <c r="D406"/>
      <c r="E406"/>
      <c r="F406"/>
      <c r="G406"/>
      <c r="H406"/>
      <c r="I406"/>
      <c r="J406"/>
      <c r="K406"/>
      <c r="L406"/>
    </row>
    <row r="407" spans="1:12">
      <c r="A407"/>
      <c r="B407"/>
      <c r="C407"/>
      <c r="D407"/>
      <c r="E407"/>
      <c r="F407"/>
      <c r="G407"/>
      <c r="H407"/>
      <c r="I407"/>
      <c r="J407"/>
      <c r="K407"/>
      <c r="L407"/>
    </row>
    <row r="408" spans="1:12">
      <c r="A408"/>
      <c r="B408"/>
      <c r="C408"/>
      <c r="D408"/>
      <c r="E408"/>
      <c r="F408"/>
      <c r="G408"/>
      <c r="H408"/>
      <c r="I408"/>
      <c r="J408"/>
      <c r="K408"/>
      <c r="L408"/>
    </row>
    <row r="409" spans="1:12">
      <c r="A409"/>
      <c r="B409"/>
      <c r="C409"/>
      <c r="D409"/>
      <c r="E409"/>
      <c r="F409"/>
      <c r="G409"/>
      <c r="H409"/>
      <c r="I409"/>
      <c r="J409"/>
      <c r="K409"/>
      <c r="L409"/>
    </row>
    <row r="410" spans="1:12">
      <c r="A410"/>
      <c r="B410"/>
      <c r="C410"/>
      <c r="D410"/>
      <c r="E410"/>
      <c r="F410"/>
      <c r="G410"/>
      <c r="H410"/>
      <c r="I410"/>
      <c r="J410"/>
      <c r="K410"/>
      <c r="L410"/>
    </row>
    <row r="411" spans="1:12">
      <c r="A411"/>
      <c r="B411"/>
      <c r="C411"/>
      <c r="D411"/>
      <c r="E411"/>
      <c r="F411"/>
      <c r="G411"/>
      <c r="H411"/>
      <c r="I411"/>
      <c r="J411"/>
      <c r="K411"/>
      <c r="L411"/>
    </row>
    <row r="412" spans="1:12">
      <c r="A412"/>
      <c r="B412"/>
      <c r="C412"/>
      <c r="D412"/>
      <c r="E412"/>
      <c r="F412"/>
      <c r="G412"/>
      <c r="H412"/>
      <c r="I412"/>
      <c r="J412"/>
      <c r="K412"/>
      <c r="L412"/>
    </row>
    <row r="413" spans="1:12">
      <c r="A413"/>
      <c r="B413"/>
      <c r="C413"/>
      <c r="D413"/>
      <c r="E413"/>
      <c r="F413"/>
      <c r="G413"/>
      <c r="H413"/>
      <c r="I413"/>
      <c r="J413"/>
      <c r="K413"/>
      <c r="L413"/>
    </row>
    <row r="414" spans="1:12">
      <c r="A414"/>
      <c r="B414"/>
      <c r="C414"/>
      <c r="D414"/>
      <c r="E414"/>
      <c r="F414"/>
      <c r="G414"/>
      <c r="H414"/>
      <c r="I414"/>
      <c r="J414"/>
      <c r="K414"/>
      <c r="L414"/>
    </row>
    <row r="415" spans="1:12">
      <c r="A415"/>
      <c r="B415"/>
      <c r="C415"/>
      <c r="D415"/>
      <c r="E415"/>
      <c r="F415"/>
      <c r="G415"/>
      <c r="H415"/>
      <c r="I415"/>
      <c r="J415"/>
      <c r="K415"/>
      <c r="L415"/>
    </row>
    <row r="416" spans="1:12">
      <c r="A416"/>
      <c r="B416"/>
      <c r="C416"/>
      <c r="D416"/>
      <c r="E416"/>
      <c r="F416"/>
      <c r="G416"/>
      <c r="H416"/>
      <c r="I416"/>
      <c r="J416"/>
      <c r="K416"/>
      <c r="L416"/>
    </row>
    <row r="417" spans="1:12">
      <c r="A417"/>
      <c r="B417"/>
      <c r="C417"/>
      <c r="D417"/>
      <c r="E417"/>
      <c r="F417"/>
      <c r="G417"/>
      <c r="H417"/>
      <c r="I417"/>
      <c r="J417"/>
      <c r="K417"/>
      <c r="L417"/>
    </row>
    <row r="418" spans="1:12">
      <c r="A418"/>
      <c r="B418"/>
      <c r="C418"/>
      <c r="D418"/>
      <c r="E418"/>
      <c r="F418"/>
      <c r="G418"/>
      <c r="H418"/>
      <c r="I418"/>
      <c r="J418"/>
      <c r="K418"/>
      <c r="L418"/>
    </row>
    <row r="419" spans="1:12">
      <c r="A419"/>
      <c r="B419"/>
      <c r="C419"/>
      <c r="D419"/>
      <c r="E419"/>
      <c r="F419"/>
      <c r="G419"/>
      <c r="H419"/>
      <c r="I419"/>
      <c r="J419"/>
      <c r="K419"/>
      <c r="L419"/>
    </row>
    <row r="420" spans="1:12">
      <c r="A420"/>
      <c r="B420"/>
      <c r="C420"/>
      <c r="D420"/>
      <c r="E420"/>
      <c r="F420"/>
      <c r="G420"/>
      <c r="H420"/>
      <c r="I420"/>
      <c r="J420"/>
      <c r="K420"/>
      <c r="L420"/>
    </row>
    <row r="421" spans="1:12">
      <c r="A421"/>
      <c r="B421"/>
      <c r="C421"/>
      <c r="D421"/>
      <c r="E421"/>
      <c r="F421"/>
      <c r="G421"/>
      <c r="H421"/>
      <c r="I421"/>
      <c r="J421"/>
      <c r="K421"/>
      <c r="L421"/>
    </row>
    <row r="422" spans="1:12">
      <c r="A422"/>
      <c r="B422"/>
      <c r="C422"/>
      <c r="D422"/>
      <c r="E422"/>
      <c r="F422"/>
      <c r="G422"/>
      <c r="H422"/>
      <c r="I422"/>
      <c r="J422"/>
      <c r="K422"/>
      <c r="L422"/>
    </row>
    <row r="423" spans="1:12">
      <c r="A423"/>
      <c r="B423"/>
      <c r="C423"/>
      <c r="D423"/>
      <c r="E423"/>
      <c r="F423"/>
      <c r="G423"/>
      <c r="H423"/>
      <c r="I423"/>
      <c r="J423"/>
      <c r="K423"/>
      <c r="L423"/>
    </row>
    <row r="424" spans="1:12">
      <c r="A424"/>
      <c r="B424"/>
      <c r="C424"/>
      <c r="D424"/>
      <c r="E424"/>
      <c r="F424"/>
      <c r="G424"/>
      <c r="H424"/>
      <c r="I424"/>
      <c r="J424"/>
      <c r="K424"/>
      <c r="L424"/>
    </row>
    <row r="425" spans="1:12">
      <c r="A425"/>
      <c r="B425"/>
      <c r="C425"/>
      <c r="D425"/>
      <c r="E425"/>
      <c r="F425"/>
      <c r="G425"/>
      <c r="H425"/>
      <c r="I425"/>
      <c r="J425"/>
      <c r="K425"/>
      <c r="L425"/>
    </row>
    <row r="426" spans="1:12">
      <c r="A426"/>
      <c r="B426"/>
      <c r="C426"/>
      <c r="D426"/>
      <c r="E426"/>
      <c r="F426"/>
      <c r="G426"/>
      <c r="H426"/>
      <c r="I426"/>
      <c r="J426"/>
      <c r="K426"/>
      <c r="L426"/>
    </row>
    <row r="427" spans="1:12">
      <c r="A427"/>
      <c r="B427"/>
      <c r="C427"/>
      <c r="D427"/>
      <c r="E427"/>
      <c r="F427"/>
      <c r="G427"/>
      <c r="H427"/>
      <c r="I427"/>
      <c r="J427"/>
      <c r="K427"/>
      <c r="L427"/>
    </row>
    <row r="428" spans="1:12">
      <c r="A428"/>
      <c r="B428"/>
      <c r="C428"/>
      <c r="D428"/>
      <c r="E428"/>
      <c r="F428"/>
      <c r="G428"/>
      <c r="H428"/>
      <c r="I428"/>
      <c r="J428"/>
      <c r="K428"/>
      <c r="L428"/>
    </row>
    <row r="429" spans="1:12">
      <c r="A429"/>
      <c r="B429"/>
      <c r="C429"/>
      <c r="D429"/>
      <c r="E429"/>
      <c r="F429"/>
      <c r="G429"/>
      <c r="H429"/>
      <c r="I429"/>
      <c r="J429"/>
      <c r="K429"/>
      <c r="L429"/>
    </row>
    <row r="430" spans="1:12">
      <c r="A430"/>
      <c r="B430"/>
      <c r="C430"/>
      <c r="D430"/>
      <c r="E430"/>
      <c r="F430"/>
      <c r="G430"/>
      <c r="H430"/>
      <c r="I430"/>
      <c r="J430"/>
      <c r="K430"/>
      <c r="L430"/>
    </row>
    <row r="431" spans="1:12">
      <c r="A431"/>
      <c r="B431"/>
      <c r="C431"/>
      <c r="D431"/>
      <c r="E431"/>
      <c r="F431"/>
      <c r="G431"/>
      <c r="H431"/>
      <c r="I431"/>
      <c r="J431"/>
      <c r="K431"/>
      <c r="L431"/>
    </row>
    <row r="432" spans="1:12">
      <c r="A432"/>
      <c r="B432"/>
      <c r="C432"/>
      <c r="D432"/>
      <c r="E432"/>
      <c r="F432"/>
      <c r="G432"/>
      <c r="H432"/>
      <c r="I432"/>
      <c r="J432"/>
      <c r="K432"/>
      <c r="L432"/>
    </row>
    <row r="433" spans="1:12">
      <c r="A433"/>
      <c r="B433"/>
      <c r="C433"/>
      <c r="D433"/>
      <c r="E433"/>
      <c r="F433"/>
      <c r="G433"/>
      <c r="H433"/>
      <c r="I433"/>
      <c r="J433"/>
      <c r="K433"/>
      <c r="L433"/>
    </row>
    <row r="434" spans="1:12">
      <c r="A434"/>
      <c r="B434"/>
      <c r="C434"/>
      <c r="D434"/>
      <c r="E434"/>
      <c r="F434"/>
      <c r="G434"/>
      <c r="H434"/>
      <c r="I434"/>
      <c r="J434"/>
      <c r="K434"/>
      <c r="L434"/>
    </row>
    <row r="435" spans="1:12">
      <c r="A435"/>
      <c r="B435"/>
      <c r="C435"/>
      <c r="D435"/>
      <c r="E435"/>
      <c r="F435"/>
      <c r="G435"/>
      <c r="H435"/>
      <c r="I435"/>
      <c r="J435"/>
      <c r="K435"/>
      <c r="L435"/>
    </row>
    <row r="436" spans="1:12">
      <c r="A436"/>
      <c r="B436"/>
      <c r="C436"/>
      <c r="D436"/>
      <c r="E436"/>
      <c r="F436"/>
      <c r="G436"/>
      <c r="H436"/>
      <c r="I436"/>
      <c r="J436"/>
      <c r="K436"/>
      <c r="L436"/>
    </row>
    <row r="437" spans="1:12">
      <c r="A437"/>
      <c r="B437"/>
      <c r="C437"/>
      <c r="D437"/>
      <c r="E437"/>
      <c r="F437"/>
      <c r="G437"/>
      <c r="H437"/>
      <c r="I437"/>
      <c r="J437"/>
      <c r="K437"/>
      <c r="L437"/>
    </row>
    <row r="438" spans="1:12">
      <c r="A438"/>
      <c r="B438"/>
      <c r="C438"/>
      <c r="D438"/>
      <c r="E438"/>
      <c r="F438"/>
      <c r="G438"/>
      <c r="H438"/>
      <c r="I438"/>
      <c r="J438"/>
      <c r="K438"/>
      <c r="L438"/>
    </row>
    <row r="439" spans="1:12">
      <c r="A439"/>
      <c r="B439"/>
      <c r="C439"/>
      <c r="D439"/>
      <c r="E439"/>
      <c r="F439"/>
      <c r="G439"/>
      <c r="H439"/>
      <c r="I439"/>
      <c r="J439"/>
      <c r="K439"/>
      <c r="L439"/>
    </row>
    <row r="440" spans="1:12">
      <c r="A440"/>
      <c r="B440"/>
      <c r="C440"/>
      <c r="D440"/>
      <c r="E440"/>
      <c r="F440"/>
      <c r="G440"/>
      <c r="H440"/>
      <c r="I440"/>
      <c r="J440"/>
      <c r="K440"/>
      <c r="L440"/>
    </row>
    <row r="441" spans="1:12">
      <c r="A441"/>
      <c r="B441"/>
      <c r="C441"/>
      <c r="D441"/>
      <c r="E441"/>
      <c r="F441"/>
      <c r="G441"/>
      <c r="H441"/>
      <c r="I441"/>
      <c r="J441"/>
      <c r="K441"/>
      <c r="L441"/>
    </row>
    <row r="442" spans="1:12">
      <c r="A442"/>
      <c r="B442"/>
      <c r="C442"/>
      <c r="D442"/>
      <c r="E442"/>
      <c r="F442"/>
      <c r="G442"/>
      <c r="H442"/>
      <c r="I442"/>
      <c r="J442"/>
      <c r="K442"/>
      <c r="L442"/>
    </row>
    <row r="443" spans="1:12">
      <c r="A443"/>
      <c r="B443"/>
      <c r="C443"/>
      <c r="D443"/>
      <c r="E443"/>
      <c r="F443"/>
      <c r="G443"/>
      <c r="H443"/>
      <c r="I443"/>
      <c r="J443"/>
      <c r="K443"/>
      <c r="L443"/>
    </row>
    <row r="444" spans="1:12">
      <c r="A444"/>
      <c r="B444"/>
      <c r="C444"/>
      <c r="D444"/>
      <c r="E444"/>
      <c r="F444"/>
      <c r="G444"/>
      <c r="H444"/>
      <c r="I444"/>
      <c r="J444"/>
      <c r="K444"/>
      <c r="L444"/>
    </row>
    <row r="445" spans="1:12">
      <c r="A445"/>
      <c r="B445"/>
      <c r="C445"/>
      <c r="D445"/>
      <c r="E445"/>
      <c r="F445"/>
      <c r="G445"/>
      <c r="H445"/>
      <c r="I445"/>
      <c r="J445"/>
      <c r="K445"/>
      <c r="L445"/>
    </row>
    <row r="446" spans="1:12">
      <c r="A446"/>
      <c r="B446"/>
      <c r="C446"/>
      <c r="D446"/>
      <c r="E446"/>
      <c r="F446"/>
      <c r="G446"/>
      <c r="H446"/>
      <c r="I446"/>
      <c r="J446"/>
      <c r="K446"/>
      <c r="L446"/>
    </row>
    <row r="447" spans="1:12">
      <c r="A447"/>
      <c r="B447"/>
      <c r="C447"/>
      <c r="D447"/>
      <c r="E447"/>
      <c r="F447"/>
      <c r="G447"/>
      <c r="H447"/>
      <c r="I447"/>
      <c r="J447"/>
      <c r="K447"/>
      <c r="L447"/>
    </row>
    <row r="448" spans="1:12">
      <c r="A448"/>
      <c r="B448"/>
      <c r="C448"/>
      <c r="D448"/>
      <c r="E448"/>
      <c r="F448"/>
      <c r="G448"/>
      <c r="H448"/>
      <c r="I448"/>
      <c r="J448"/>
      <c r="K448"/>
      <c r="L448"/>
    </row>
    <row r="449" spans="1:12">
      <c r="A449"/>
      <c r="B449"/>
      <c r="C449"/>
      <c r="D449"/>
      <c r="E449"/>
      <c r="F449"/>
      <c r="G449"/>
      <c r="H449"/>
      <c r="I449"/>
      <c r="J449"/>
      <c r="K449"/>
      <c r="L449"/>
    </row>
    <row r="450" spans="1:12">
      <c r="A450"/>
      <c r="B450"/>
      <c r="C450"/>
      <c r="D450"/>
      <c r="E450"/>
      <c r="F450"/>
      <c r="G450"/>
      <c r="H450"/>
      <c r="I450"/>
      <c r="J450"/>
      <c r="K450"/>
      <c r="L450"/>
    </row>
    <row r="451" spans="1:12">
      <c r="A451"/>
      <c r="B451"/>
      <c r="C451"/>
      <c r="D451"/>
      <c r="E451"/>
      <c r="F451"/>
      <c r="G451"/>
      <c r="H451"/>
      <c r="I451"/>
      <c r="J451"/>
      <c r="K451"/>
      <c r="L451"/>
    </row>
    <row r="452" spans="1:12">
      <c r="A452"/>
      <c r="B452"/>
      <c r="C452"/>
      <c r="D452"/>
      <c r="E452"/>
      <c r="F452"/>
      <c r="G452"/>
      <c r="H452"/>
      <c r="I452"/>
      <c r="J452"/>
      <c r="K452"/>
      <c r="L452"/>
    </row>
    <row r="453" spans="1:12">
      <c r="A453"/>
      <c r="B453"/>
      <c r="C453"/>
      <c r="D453"/>
      <c r="E453"/>
      <c r="F453"/>
      <c r="G453"/>
      <c r="H453"/>
      <c r="I453"/>
      <c r="J453"/>
      <c r="K453"/>
      <c r="L453"/>
    </row>
    <row r="454" spans="1:12">
      <c r="A454"/>
      <c r="B454"/>
      <c r="C454"/>
      <c r="D454"/>
      <c r="E454"/>
      <c r="F454"/>
      <c r="G454"/>
      <c r="H454"/>
      <c r="I454"/>
      <c r="J454"/>
      <c r="K454"/>
      <c r="L454"/>
    </row>
    <row r="455" spans="1:12">
      <c r="A455"/>
      <c r="B455"/>
      <c r="C455"/>
      <c r="D455"/>
      <c r="E455"/>
      <c r="F455"/>
      <c r="G455"/>
      <c r="H455"/>
      <c r="I455"/>
      <c r="J455"/>
      <c r="K455"/>
      <c r="L455"/>
    </row>
    <row r="456" spans="1:12">
      <c r="A456"/>
      <c r="B456"/>
      <c r="C456"/>
      <c r="D456"/>
      <c r="E456"/>
      <c r="F456"/>
      <c r="G456"/>
      <c r="H456"/>
      <c r="I456"/>
      <c r="J456"/>
      <c r="K456"/>
      <c r="L456"/>
    </row>
    <row r="457" spans="1:12">
      <c r="A457"/>
      <c r="B457"/>
      <c r="C457"/>
      <c r="D457"/>
      <c r="E457"/>
      <c r="F457"/>
      <c r="G457"/>
      <c r="H457"/>
      <c r="I457"/>
      <c r="J457"/>
      <c r="K457"/>
      <c r="L457"/>
    </row>
    <row r="458" spans="1:12">
      <c r="A458"/>
      <c r="B458"/>
      <c r="C458"/>
      <c r="D458"/>
      <c r="E458"/>
      <c r="F458"/>
      <c r="G458"/>
      <c r="H458"/>
      <c r="I458"/>
      <c r="J458"/>
      <c r="K458"/>
      <c r="L458"/>
    </row>
    <row r="459" spans="1:12">
      <c r="A459"/>
      <c r="B459"/>
      <c r="C459"/>
      <c r="D459"/>
      <c r="E459"/>
      <c r="F459"/>
      <c r="G459"/>
      <c r="H459"/>
      <c r="I459"/>
      <c r="J459"/>
      <c r="K459"/>
      <c r="L459"/>
    </row>
    <row r="460" spans="1:12">
      <c r="A460"/>
      <c r="B460"/>
      <c r="C460"/>
      <c r="D460"/>
      <c r="E460"/>
      <c r="F460"/>
      <c r="G460"/>
      <c r="H460"/>
      <c r="I460"/>
      <c r="J460"/>
      <c r="K460"/>
      <c r="L460"/>
    </row>
    <row r="461" spans="1:12">
      <c r="A461"/>
      <c r="B461"/>
      <c r="C461"/>
      <c r="D461"/>
      <c r="E461"/>
      <c r="F461"/>
      <c r="G461"/>
      <c r="H461"/>
      <c r="I461"/>
      <c r="J461"/>
      <c r="K461"/>
      <c r="L461"/>
    </row>
    <row r="462" spans="1:12">
      <c r="A462"/>
      <c r="B462"/>
      <c r="C462"/>
      <c r="D462"/>
      <c r="E462"/>
      <c r="F462"/>
      <c r="G462"/>
      <c r="H462"/>
      <c r="I462"/>
      <c r="J462"/>
      <c r="K462"/>
      <c r="L462"/>
    </row>
    <row r="463" spans="1:12">
      <c r="A463"/>
      <c r="B463"/>
      <c r="C463"/>
      <c r="D463"/>
      <c r="E463"/>
      <c r="F463"/>
      <c r="G463"/>
      <c r="H463"/>
      <c r="I463"/>
      <c r="J463"/>
      <c r="K463"/>
      <c r="L463"/>
    </row>
    <row r="464" spans="1:12">
      <c r="A464"/>
      <c r="B464"/>
      <c r="C464"/>
      <c r="D464"/>
      <c r="E464"/>
      <c r="F464"/>
      <c r="G464"/>
      <c r="H464"/>
      <c r="I464"/>
      <c r="J464"/>
      <c r="K464"/>
      <c r="L464"/>
    </row>
    <row r="465" spans="1:12">
      <c r="A465"/>
      <c r="B465"/>
      <c r="C465"/>
      <c r="D465"/>
      <c r="E465"/>
      <c r="F465"/>
      <c r="G465"/>
      <c r="H465"/>
      <c r="I465"/>
      <c r="J465"/>
      <c r="K465"/>
      <c r="L465"/>
    </row>
    <row r="466" spans="1:12">
      <c r="A466"/>
      <c r="B466"/>
      <c r="C466"/>
      <c r="D466"/>
      <c r="E466"/>
      <c r="F466"/>
      <c r="G466"/>
      <c r="H466"/>
      <c r="I466"/>
      <c r="J466"/>
      <c r="K466"/>
      <c r="L466"/>
    </row>
    <row r="467" spans="1:12">
      <c r="A467"/>
      <c r="B467"/>
      <c r="C467"/>
      <c r="D467"/>
      <c r="E467"/>
      <c r="F467"/>
      <c r="G467"/>
      <c r="H467"/>
      <c r="I467"/>
      <c r="J467"/>
      <c r="K467"/>
      <c r="L467"/>
    </row>
    <row r="468" spans="1:12">
      <c r="A468"/>
      <c r="B468"/>
      <c r="C468"/>
      <c r="D468"/>
      <c r="E468"/>
      <c r="F468"/>
      <c r="G468"/>
      <c r="H468"/>
      <c r="I468"/>
      <c r="J468"/>
      <c r="K468"/>
      <c r="L468"/>
    </row>
    <row r="469" spans="1:12">
      <c r="A469"/>
      <c r="B469"/>
      <c r="C469"/>
      <c r="D469"/>
      <c r="E469"/>
      <c r="F469"/>
      <c r="G469"/>
      <c r="H469"/>
      <c r="I469"/>
      <c r="J469"/>
      <c r="K469"/>
      <c r="L469"/>
    </row>
    <row r="470" spans="1:12">
      <c r="A470"/>
      <c r="B470"/>
      <c r="C470"/>
      <c r="D470"/>
      <c r="E470"/>
      <c r="F470"/>
      <c r="G470"/>
      <c r="H470"/>
      <c r="I470"/>
      <c r="J470"/>
      <c r="K470"/>
      <c r="L470"/>
    </row>
    <row r="471" spans="1:12">
      <c r="A471"/>
      <c r="B471"/>
      <c r="C471"/>
      <c r="D471"/>
      <c r="E471"/>
      <c r="F471"/>
      <c r="G471"/>
      <c r="H471"/>
      <c r="I471"/>
      <c r="J471"/>
      <c r="K471"/>
      <c r="L471"/>
    </row>
    <row r="472" spans="1:12">
      <c r="A472"/>
      <c r="B472"/>
      <c r="C472"/>
      <c r="D472"/>
      <c r="E472"/>
      <c r="F472"/>
      <c r="G472"/>
      <c r="H472"/>
      <c r="I472"/>
      <c r="J472"/>
      <c r="K472"/>
      <c r="L472"/>
    </row>
    <row r="473" spans="1:12">
      <c r="A473"/>
      <c r="B473"/>
      <c r="C473"/>
      <c r="D473"/>
      <c r="E473"/>
      <c r="F473"/>
      <c r="G473"/>
      <c r="H473"/>
      <c r="I473"/>
      <c r="J473"/>
      <c r="K473"/>
      <c r="L473"/>
    </row>
    <row r="474" spans="1:12">
      <c r="A474"/>
      <c r="B474"/>
      <c r="C474"/>
      <c r="D474"/>
      <c r="E474"/>
      <c r="F474"/>
      <c r="G474"/>
      <c r="H474"/>
      <c r="I474"/>
      <c r="J474"/>
      <c r="K474"/>
      <c r="L474"/>
    </row>
    <row r="475" spans="1:12">
      <c r="A475"/>
      <c r="B475"/>
      <c r="C475"/>
      <c r="D475"/>
      <c r="E475"/>
      <c r="F475"/>
      <c r="G475"/>
      <c r="H475"/>
      <c r="I475"/>
      <c r="J475"/>
      <c r="K475"/>
      <c r="L475"/>
    </row>
    <row r="476" spans="1:12">
      <c r="A476"/>
      <c r="B476"/>
      <c r="C476"/>
      <c r="D476"/>
      <c r="E476"/>
      <c r="F476"/>
      <c r="G476"/>
      <c r="H476"/>
      <c r="I476"/>
      <c r="J476"/>
      <c r="K476"/>
      <c r="L476"/>
    </row>
    <row r="477" spans="1:12">
      <c r="A477"/>
      <c r="B477"/>
      <c r="C477"/>
      <c r="D477"/>
      <c r="E477"/>
      <c r="F477"/>
      <c r="G477"/>
      <c r="H477"/>
      <c r="I477"/>
      <c r="J477"/>
      <c r="K477"/>
      <c r="L477"/>
    </row>
    <row r="478" spans="1:12">
      <c r="A478"/>
      <c r="B478"/>
      <c r="C478"/>
      <c r="D478"/>
      <c r="E478"/>
      <c r="F478"/>
      <c r="G478"/>
      <c r="H478"/>
      <c r="I478"/>
      <c r="J478"/>
      <c r="K478"/>
      <c r="L478"/>
    </row>
    <row r="479" spans="1:12">
      <c r="A479"/>
      <c r="B479"/>
      <c r="C479"/>
      <c r="D479"/>
      <c r="E479"/>
      <c r="F479"/>
      <c r="G479"/>
      <c r="H479"/>
      <c r="I479"/>
      <c r="J479"/>
      <c r="K479"/>
      <c r="L479"/>
    </row>
    <row r="480" spans="1:12">
      <c r="A480"/>
      <c r="B480"/>
      <c r="C480"/>
      <c r="D480"/>
      <c r="E480"/>
      <c r="F480"/>
      <c r="G480"/>
      <c r="H480"/>
      <c r="I480"/>
      <c r="J480"/>
      <c r="K480"/>
      <c r="L480"/>
    </row>
    <row r="481" spans="1:12">
      <c r="A481"/>
      <c r="B481"/>
      <c r="C481"/>
      <c r="D481"/>
      <c r="E481"/>
      <c r="F481"/>
      <c r="G481"/>
      <c r="H481"/>
      <c r="I481"/>
      <c r="J481"/>
      <c r="K481"/>
      <c r="L481"/>
    </row>
    <row r="482" spans="1:12">
      <c r="A482"/>
      <c r="B482"/>
      <c r="C482"/>
      <c r="D482"/>
      <c r="E482"/>
      <c r="F482"/>
      <c r="G482"/>
      <c r="H482"/>
      <c r="I482"/>
      <c r="J482"/>
      <c r="K482"/>
      <c r="L482"/>
    </row>
    <row r="483" spans="1:12">
      <c r="A483"/>
      <c r="B483"/>
      <c r="C483"/>
      <c r="D483"/>
      <c r="E483"/>
      <c r="F483"/>
      <c r="G483"/>
      <c r="H483"/>
      <c r="I483"/>
      <c r="J483"/>
      <c r="K483"/>
      <c r="L483"/>
    </row>
    <row r="484" spans="1:12">
      <c r="A484"/>
      <c r="B484"/>
      <c r="C484"/>
      <c r="D484"/>
      <c r="E484"/>
      <c r="F484"/>
      <c r="G484"/>
      <c r="H484"/>
      <c r="I484"/>
      <c r="J484"/>
      <c r="K484"/>
      <c r="L484"/>
    </row>
    <row r="485" spans="1:12">
      <c r="A485"/>
      <c r="B485"/>
      <c r="C485"/>
      <c r="D485"/>
      <c r="E485"/>
      <c r="F485"/>
      <c r="G485"/>
      <c r="H485"/>
      <c r="I485"/>
      <c r="J485"/>
      <c r="K485"/>
      <c r="L485"/>
    </row>
    <row r="486" spans="1:12">
      <c r="A486"/>
      <c r="B486"/>
      <c r="C486"/>
      <c r="D486"/>
      <c r="E486"/>
      <c r="F486"/>
      <c r="G486"/>
      <c r="H486"/>
      <c r="I486"/>
      <c r="J486"/>
      <c r="K486"/>
      <c r="L486"/>
    </row>
    <row r="487" spans="1:12">
      <c r="A487"/>
      <c r="B487"/>
      <c r="C487"/>
      <c r="D487"/>
      <c r="E487"/>
      <c r="F487"/>
      <c r="G487"/>
      <c r="H487"/>
      <c r="I487"/>
      <c r="J487"/>
      <c r="K487"/>
      <c r="L487"/>
    </row>
    <row r="488" spans="1:12">
      <c r="A488"/>
      <c r="B488"/>
      <c r="C488"/>
      <c r="D488"/>
      <c r="E488"/>
      <c r="F488"/>
      <c r="G488"/>
      <c r="H488"/>
      <c r="I488"/>
      <c r="J488"/>
      <c r="K488"/>
      <c r="L488"/>
    </row>
    <row r="489" spans="1:12">
      <c r="A489"/>
      <c r="B489"/>
      <c r="C489"/>
      <c r="D489"/>
      <c r="E489"/>
      <c r="F489"/>
      <c r="G489"/>
      <c r="H489"/>
      <c r="I489"/>
      <c r="J489"/>
      <c r="K489"/>
      <c r="L489"/>
    </row>
    <row r="490" spans="1:12">
      <c r="A490"/>
      <c r="B490"/>
      <c r="C490"/>
      <c r="D490"/>
      <c r="E490"/>
      <c r="F490"/>
      <c r="G490"/>
      <c r="H490"/>
      <c r="I490"/>
      <c r="J490"/>
      <c r="K490"/>
      <c r="L490"/>
    </row>
    <row r="491" spans="1:12">
      <c r="A491"/>
      <c r="B491"/>
      <c r="C491"/>
      <c r="D491"/>
      <c r="E491"/>
      <c r="F491"/>
      <c r="G491"/>
      <c r="H491"/>
      <c r="I491"/>
      <c r="J491"/>
      <c r="K491"/>
      <c r="L491"/>
    </row>
    <row r="492" spans="1:12">
      <c r="A492"/>
      <c r="B492"/>
      <c r="C492"/>
      <c r="D492"/>
      <c r="E492"/>
      <c r="F492"/>
      <c r="G492"/>
      <c r="H492"/>
      <c r="I492"/>
      <c r="J492"/>
      <c r="K492"/>
      <c r="L492"/>
    </row>
    <row r="493" spans="1:12">
      <c r="A493"/>
      <c r="B493"/>
      <c r="C493"/>
      <c r="D493"/>
      <c r="E493"/>
      <c r="F493"/>
      <c r="G493"/>
      <c r="H493"/>
      <c r="I493"/>
      <c r="J493"/>
      <c r="K493"/>
      <c r="L493"/>
    </row>
    <row r="494" spans="1:12">
      <c r="A494"/>
      <c r="B494"/>
      <c r="C494"/>
      <c r="D494"/>
      <c r="E494"/>
      <c r="F494"/>
      <c r="G494"/>
      <c r="H494"/>
      <c r="I494"/>
      <c r="J494"/>
      <c r="K494"/>
      <c r="L494"/>
    </row>
    <row r="495" spans="1:12">
      <c r="A495"/>
      <c r="B495"/>
      <c r="C495"/>
      <c r="D495"/>
      <c r="E495"/>
      <c r="F495"/>
      <c r="G495"/>
      <c r="H495"/>
      <c r="I495"/>
      <c r="J495"/>
      <c r="K495"/>
      <c r="L495"/>
    </row>
    <row r="496" spans="1:12">
      <c r="A496"/>
      <c r="B496"/>
      <c r="C496"/>
      <c r="D496"/>
      <c r="E496"/>
      <c r="F496"/>
      <c r="G496"/>
      <c r="H496"/>
      <c r="I496"/>
      <c r="J496"/>
      <c r="K496"/>
      <c r="L496"/>
    </row>
    <row r="497" spans="1:12">
      <c r="A497"/>
      <c r="B497"/>
      <c r="C497"/>
      <c r="D497"/>
      <c r="E497"/>
      <c r="F497"/>
      <c r="G497"/>
      <c r="H497"/>
      <c r="I497"/>
      <c r="J497"/>
      <c r="K497"/>
      <c r="L497"/>
    </row>
    <row r="498" spans="1:12">
      <c r="A498"/>
      <c r="B498"/>
      <c r="C498"/>
      <c r="D498"/>
      <c r="E498"/>
      <c r="F498"/>
      <c r="G498"/>
      <c r="H498"/>
      <c r="I498"/>
      <c r="J498"/>
      <c r="K498"/>
      <c r="L498"/>
    </row>
    <row r="499" spans="1:12">
      <c r="A499"/>
      <c r="B499"/>
      <c r="C499"/>
      <c r="D499"/>
      <c r="E499"/>
      <c r="F499"/>
      <c r="G499"/>
      <c r="H499"/>
      <c r="I499"/>
      <c r="J499"/>
      <c r="K499"/>
      <c r="L499"/>
    </row>
    <row r="500" spans="1:12">
      <c r="A500"/>
      <c r="B500"/>
      <c r="C500"/>
      <c r="D500"/>
      <c r="E500"/>
      <c r="F500"/>
      <c r="G500"/>
      <c r="H500"/>
      <c r="I500"/>
      <c r="J500"/>
      <c r="K500"/>
      <c r="L500"/>
    </row>
    <row r="501" spans="1:12">
      <c r="A501"/>
      <c r="B501"/>
      <c r="C501"/>
      <c r="D501"/>
      <c r="E501"/>
      <c r="F501"/>
      <c r="G501"/>
      <c r="H501"/>
      <c r="I501"/>
      <c r="J501"/>
      <c r="K501"/>
      <c r="L501"/>
    </row>
    <row r="502" spans="1:12">
      <c r="A502"/>
      <c r="B502"/>
      <c r="C502"/>
      <c r="D502"/>
      <c r="E502"/>
      <c r="F502"/>
      <c r="G502"/>
      <c r="H502"/>
      <c r="I502"/>
      <c r="J502"/>
      <c r="K502"/>
      <c r="L502"/>
    </row>
    <row r="503" spans="1:12">
      <c r="A503"/>
      <c r="B503"/>
      <c r="C503"/>
      <c r="D503"/>
      <c r="E503"/>
      <c r="F503"/>
      <c r="G503"/>
      <c r="H503"/>
      <c r="I503"/>
      <c r="J503"/>
      <c r="K503"/>
      <c r="L503"/>
    </row>
    <row r="504" spans="1:12">
      <c r="A504"/>
      <c r="B504"/>
      <c r="C504"/>
      <c r="D504"/>
      <c r="E504"/>
      <c r="F504"/>
      <c r="G504"/>
      <c r="H504"/>
      <c r="I504"/>
      <c r="J504"/>
      <c r="K504"/>
      <c r="L504"/>
    </row>
    <row r="505" spans="1:12">
      <c r="A505"/>
      <c r="B505"/>
      <c r="C505"/>
      <c r="D505"/>
      <c r="E505"/>
      <c r="F505"/>
      <c r="G505"/>
      <c r="H505"/>
      <c r="I505"/>
      <c r="J505"/>
      <c r="K505"/>
      <c r="L505"/>
    </row>
    <row r="506" spans="1:12">
      <c r="A506"/>
      <c r="B506"/>
      <c r="C506"/>
      <c r="D506"/>
      <c r="E506"/>
      <c r="F506"/>
      <c r="G506"/>
      <c r="H506"/>
      <c r="I506"/>
      <c r="J506"/>
      <c r="K506"/>
      <c r="L506"/>
    </row>
    <row r="507" spans="1:12">
      <c r="A507"/>
      <c r="B507"/>
      <c r="C507"/>
      <c r="D507"/>
      <c r="E507"/>
      <c r="F507"/>
      <c r="G507"/>
      <c r="H507"/>
      <c r="I507"/>
      <c r="J507"/>
      <c r="K507"/>
      <c r="L507"/>
    </row>
    <row r="508" spans="1:12">
      <c r="A508"/>
      <c r="B508"/>
      <c r="C508"/>
      <c r="D508"/>
      <c r="E508"/>
      <c r="F508"/>
      <c r="G508"/>
      <c r="H508"/>
      <c r="I508"/>
      <c r="J508"/>
      <c r="K508"/>
      <c r="L508"/>
    </row>
    <row r="509" spans="1:12">
      <c r="A509"/>
      <c r="B509"/>
      <c r="C509"/>
      <c r="D509"/>
      <c r="E509"/>
      <c r="F509"/>
      <c r="G509"/>
      <c r="H509"/>
      <c r="I509"/>
      <c r="J509"/>
      <c r="K509"/>
      <c r="L509"/>
    </row>
    <row r="510" spans="1:12">
      <c r="A510"/>
      <c r="B510"/>
      <c r="C510"/>
      <c r="D510"/>
      <c r="E510"/>
      <c r="F510"/>
      <c r="G510"/>
      <c r="H510"/>
      <c r="I510"/>
      <c r="J510"/>
      <c r="K510"/>
      <c r="L510"/>
    </row>
    <row r="511" spans="1:12">
      <c r="A511"/>
      <c r="B511"/>
      <c r="C511"/>
      <c r="D511"/>
      <c r="E511"/>
      <c r="F511"/>
      <c r="G511"/>
      <c r="H511"/>
      <c r="I511"/>
      <c r="J511"/>
      <c r="K511"/>
      <c r="L511"/>
    </row>
    <row r="512" spans="1:12">
      <c r="A512"/>
      <c r="B512"/>
      <c r="C512"/>
      <c r="D512"/>
      <c r="E512"/>
      <c r="F512"/>
      <c r="G512"/>
      <c r="H512"/>
      <c r="I512"/>
      <c r="J512"/>
      <c r="K512"/>
      <c r="L512"/>
    </row>
    <row r="513" spans="1:12">
      <c r="A513"/>
      <c r="B513"/>
      <c r="C513"/>
      <c r="D513"/>
      <c r="E513"/>
      <c r="F513"/>
      <c r="G513"/>
      <c r="H513"/>
      <c r="I513"/>
      <c r="J513"/>
      <c r="K513"/>
      <c r="L513"/>
    </row>
    <row r="514" spans="1:12">
      <c r="A514"/>
      <c r="B514"/>
      <c r="C514"/>
      <c r="D514"/>
      <c r="E514"/>
      <c r="F514"/>
      <c r="G514"/>
      <c r="H514"/>
      <c r="I514"/>
      <c r="J514"/>
      <c r="K514"/>
      <c r="L514"/>
    </row>
    <row r="515" spans="1:12">
      <c r="A515"/>
      <c r="B515"/>
      <c r="C515"/>
      <c r="D515"/>
      <c r="E515"/>
      <c r="F515"/>
      <c r="G515"/>
      <c r="H515"/>
      <c r="I515"/>
      <c r="J515"/>
      <c r="K515"/>
      <c r="L515"/>
    </row>
    <row r="516" spans="1:12">
      <c r="A516"/>
      <c r="B516"/>
      <c r="C516"/>
      <c r="D516"/>
      <c r="E516"/>
      <c r="F516"/>
      <c r="G516"/>
      <c r="H516"/>
      <c r="I516"/>
      <c r="J516"/>
      <c r="K516"/>
      <c r="L516"/>
    </row>
    <row r="517" spans="1:12">
      <c r="A517"/>
      <c r="B517"/>
      <c r="C517"/>
      <c r="D517"/>
      <c r="E517"/>
      <c r="F517"/>
      <c r="G517"/>
      <c r="H517"/>
      <c r="I517"/>
      <c r="J517"/>
      <c r="K517"/>
      <c r="L517"/>
    </row>
    <row r="518" spans="1:12">
      <c r="A518"/>
      <c r="B518"/>
      <c r="C518"/>
      <c r="D518"/>
      <c r="E518"/>
      <c r="F518"/>
      <c r="G518"/>
      <c r="H518"/>
      <c r="I518"/>
      <c r="J518"/>
      <c r="K518"/>
      <c r="L518"/>
    </row>
    <row r="519" spans="1:12">
      <c r="A519"/>
      <c r="B519"/>
      <c r="C519"/>
      <c r="D519"/>
      <c r="E519"/>
      <c r="F519"/>
      <c r="G519"/>
      <c r="H519"/>
      <c r="I519"/>
      <c r="J519"/>
      <c r="K519"/>
      <c r="L519"/>
    </row>
    <row r="520" spans="1:12">
      <c r="A520"/>
      <c r="B520"/>
      <c r="C520"/>
      <c r="D520"/>
      <c r="E520"/>
      <c r="F520"/>
      <c r="G520"/>
      <c r="H520"/>
      <c r="I520"/>
      <c r="J520"/>
      <c r="K520"/>
      <c r="L520"/>
    </row>
    <row r="521" spans="1:12">
      <c r="A521"/>
      <c r="B521"/>
      <c r="C521"/>
      <c r="D521"/>
      <c r="E521"/>
      <c r="F521"/>
      <c r="G521"/>
      <c r="H521"/>
      <c r="I521"/>
      <c r="J521"/>
      <c r="K521"/>
      <c r="L521"/>
    </row>
    <row r="522" spans="1:12">
      <c r="A522"/>
      <c r="B522"/>
      <c r="C522"/>
      <c r="D522"/>
      <c r="E522"/>
      <c r="F522"/>
      <c r="G522"/>
      <c r="H522"/>
      <c r="I522"/>
      <c r="J522"/>
      <c r="K522"/>
      <c r="L522"/>
    </row>
    <row r="523" spans="1:12">
      <c r="A523"/>
      <c r="B523"/>
      <c r="C523"/>
      <c r="D523"/>
      <c r="E523"/>
      <c r="F523"/>
      <c r="G523"/>
      <c r="H523"/>
      <c r="I523"/>
      <c r="J523"/>
      <c r="K523"/>
      <c r="L523"/>
    </row>
    <row r="524" spans="1:12">
      <c r="A524"/>
      <c r="B524"/>
      <c r="C524"/>
      <c r="D524"/>
      <c r="E524"/>
      <c r="F524"/>
      <c r="G524"/>
      <c r="H524"/>
      <c r="I524"/>
      <c r="J524"/>
      <c r="K524"/>
      <c r="L524"/>
    </row>
    <row r="525" spans="1:12">
      <c r="A525"/>
      <c r="B525"/>
      <c r="C525"/>
      <c r="D525"/>
      <c r="E525"/>
      <c r="F525"/>
      <c r="G525"/>
      <c r="H525"/>
      <c r="I525"/>
      <c r="J525"/>
      <c r="K525"/>
      <c r="L525"/>
    </row>
    <row r="526" spans="1:12">
      <c r="A526"/>
      <c r="B526"/>
      <c r="C526"/>
      <c r="D526"/>
      <c r="E526"/>
      <c r="F526"/>
      <c r="G526"/>
      <c r="H526"/>
      <c r="I526"/>
      <c r="J526"/>
      <c r="K526"/>
      <c r="L526"/>
    </row>
    <row r="527" spans="1:12">
      <c r="A527"/>
      <c r="B527"/>
      <c r="C527"/>
      <c r="D527"/>
      <c r="E527"/>
      <c r="F527"/>
      <c r="G527"/>
      <c r="H527"/>
      <c r="I527"/>
      <c r="J527"/>
      <c r="K527"/>
      <c r="L527"/>
    </row>
    <row r="528" spans="1:12">
      <c r="A528"/>
      <c r="B528"/>
      <c r="C528"/>
      <c r="D528"/>
      <c r="E528"/>
      <c r="F528"/>
      <c r="G528"/>
      <c r="H528"/>
      <c r="I528"/>
      <c r="J528"/>
      <c r="K528"/>
      <c r="L528"/>
    </row>
    <row r="529" spans="1:12">
      <c r="A529"/>
      <c r="B529"/>
      <c r="C529"/>
      <c r="D529"/>
      <c r="E529"/>
      <c r="F529"/>
      <c r="G529"/>
      <c r="H529"/>
      <c r="I529"/>
      <c r="J529"/>
      <c r="K529"/>
      <c r="L529"/>
    </row>
    <row r="530" spans="1:12">
      <c r="A530"/>
      <c r="B530"/>
      <c r="C530"/>
      <c r="D530"/>
      <c r="E530"/>
      <c r="F530"/>
      <c r="G530"/>
      <c r="H530"/>
      <c r="I530"/>
      <c r="J530"/>
      <c r="K530"/>
      <c r="L530"/>
    </row>
    <row r="531" spans="1:12">
      <c r="A531"/>
      <c r="B531"/>
      <c r="C531"/>
      <c r="D531"/>
      <c r="E531"/>
      <c r="F531"/>
      <c r="G531"/>
      <c r="H531"/>
      <c r="I531"/>
      <c r="J531"/>
      <c r="K531"/>
      <c r="L531"/>
    </row>
    <row r="532" spans="1:12">
      <c r="A532"/>
      <c r="B532"/>
      <c r="C532"/>
      <c r="D532"/>
      <c r="E532"/>
      <c r="F532"/>
      <c r="G532"/>
      <c r="H532"/>
      <c r="I532"/>
      <c r="J532"/>
      <c r="K532"/>
      <c r="L532"/>
    </row>
    <row r="533" spans="1:12">
      <c r="A533"/>
      <c r="B533"/>
      <c r="C533"/>
      <c r="D533"/>
      <c r="E533"/>
      <c r="F533"/>
      <c r="G533"/>
      <c r="H533"/>
      <c r="I533"/>
      <c r="J533"/>
      <c r="K533"/>
      <c r="L533"/>
    </row>
    <row r="534" spans="1:12">
      <c r="A534"/>
      <c r="B534"/>
      <c r="C534"/>
      <c r="D534"/>
      <c r="E534"/>
      <c r="F534"/>
      <c r="G534"/>
      <c r="H534"/>
      <c r="I534"/>
      <c r="J534"/>
      <c r="K534"/>
      <c r="L534"/>
    </row>
    <row r="535" spans="1:12">
      <c r="A535"/>
      <c r="B535"/>
      <c r="C535"/>
      <c r="D535"/>
      <c r="E535"/>
      <c r="F535"/>
      <c r="G535"/>
      <c r="H535"/>
      <c r="I535"/>
      <c r="J535"/>
      <c r="K535"/>
      <c r="L535"/>
    </row>
    <row r="536" spans="1:12">
      <c r="A536"/>
      <c r="B536"/>
      <c r="C536"/>
      <c r="D536"/>
      <c r="E536"/>
      <c r="F536"/>
      <c r="G536"/>
      <c r="H536"/>
      <c r="I536"/>
      <c r="J536"/>
      <c r="K536"/>
      <c r="L536"/>
    </row>
    <row r="537" spans="1:12">
      <c r="A537"/>
      <c r="B537"/>
      <c r="C537"/>
      <c r="D537"/>
      <c r="E537"/>
      <c r="F537"/>
      <c r="G537"/>
      <c r="H537"/>
      <c r="I537"/>
      <c r="J537"/>
      <c r="K537"/>
      <c r="L537"/>
    </row>
    <row r="538" spans="1:12">
      <c r="A538"/>
      <c r="B538"/>
      <c r="C538"/>
      <c r="D538"/>
      <c r="E538"/>
      <c r="F538"/>
      <c r="G538"/>
      <c r="H538"/>
      <c r="I538"/>
      <c r="J538"/>
      <c r="K538"/>
      <c r="L538"/>
    </row>
    <row r="539" spans="1:12">
      <c r="A539"/>
      <c r="B539"/>
      <c r="C539"/>
      <c r="D539"/>
      <c r="E539"/>
      <c r="F539"/>
      <c r="G539"/>
      <c r="H539"/>
      <c r="I539"/>
      <c r="J539"/>
      <c r="K539"/>
      <c r="L539"/>
    </row>
    <row r="540" spans="1:12">
      <c r="A540"/>
      <c r="B540"/>
      <c r="C540"/>
      <c r="D540"/>
      <c r="E540"/>
      <c r="F540"/>
      <c r="G540"/>
      <c r="H540"/>
      <c r="I540"/>
      <c r="J540"/>
      <c r="K540"/>
      <c r="L540"/>
    </row>
    <row r="541" spans="1:12">
      <c r="A541"/>
      <c r="B541"/>
      <c r="C541"/>
      <c r="D541"/>
      <c r="E541"/>
      <c r="F541"/>
      <c r="G541"/>
      <c r="H541"/>
      <c r="I541"/>
      <c r="J541"/>
      <c r="K541"/>
      <c r="L541"/>
    </row>
    <row r="542" spans="1:12">
      <c r="A542"/>
      <c r="B542"/>
      <c r="C542"/>
      <c r="D542"/>
      <c r="E542"/>
      <c r="F542"/>
      <c r="G542"/>
      <c r="H542"/>
      <c r="I542"/>
      <c r="J542"/>
      <c r="K542"/>
      <c r="L542"/>
    </row>
    <row r="543" spans="1:12">
      <c r="A543"/>
      <c r="B543"/>
      <c r="C543"/>
      <c r="D543"/>
      <c r="E543"/>
      <c r="F543"/>
      <c r="G543"/>
      <c r="H543"/>
      <c r="I543"/>
      <c r="J543"/>
      <c r="K543"/>
      <c r="L543"/>
    </row>
    <row r="544" spans="1:12">
      <c r="A544"/>
      <c r="B544"/>
      <c r="C544"/>
      <c r="D544"/>
      <c r="E544"/>
      <c r="F544"/>
      <c r="G544"/>
      <c r="H544"/>
      <c r="I544"/>
      <c r="J544"/>
      <c r="K544"/>
      <c r="L544"/>
    </row>
    <row r="545" spans="1:12">
      <c r="A545"/>
      <c r="B545"/>
      <c r="C545"/>
      <c r="D545"/>
      <c r="E545"/>
      <c r="F545"/>
      <c r="G545"/>
      <c r="H545"/>
      <c r="I545"/>
      <c r="J545"/>
      <c r="K545"/>
      <c r="L545"/>
    </row>
    <row r="546" spans="1:12">
      <c r="A546"/>
      <c r="B546"/>
      <c r="C546"/>
      <c r="D546"/>
      <c r="E546"/>
      <c r="F546"/>
      <c r="G546"/>
      <c r="H546"/>
      <c r="I546"/>
      <c r="J546"/>
      <c r="K546"/>
      <c r="L546"/>
    </row>
    <row r="547" spans="1:12">
      <c r="A547"/>
      <c r="B547"/>
      <c r="C547"/>
      <c r="D547"/>
      <c r="E547"/>
      <c r="F547"/>
      <c r="G547"/>
      <c r="H547"/>
      <c r="I547"/>
      <c r="J547"/>
      <c r="K547"/>
      <c r="L547"/>
    </row>
    <row r="548" spans="1:12">
      <c r="A548"/>
      <c r="B548"/>
      <c r="C548"/>
      <c r="D548"/>
      <c r="E548"/>
      <c r="F548"/>
      <c r="G548"/>
      <c r="H548"/>
      <c r="I548"/>
      <c r="J548"/>
      <c r="K548"/>
      <c r="L548"/>
    </row>
    <row r="549" spans="1:12">
      <c r="A549"/>
      <c r="B549"/>
      <c r="C549"/>
      <c r="D549"/>
      <c r="E549"/>
      <c r="F549"/>
      <c r="G549"/>
      <c r="H549"/>
      <c r="I549"/>
      <c r="J549"/>
      <c r="K549"/>
      <c r="L549"/>
    </row>
    <row r="550" spans="1:12">
      <c r="A550"/>
      <c r="B550"/>
      <c r="C550"/>
      <c r="D550"/>
      <c r="E550"/>
      <c r="F550"/>
      <c r="G550"/>
      <c r="H550"/>
      <c r="I550"/>
      <c r="J550"/>
      <c r="K550"/>
      <c r="L550"/>
    </row>
    <row r="551" spans="1:12">
      <c r="A551"/>
      <c r="B551"/>
      <c r="C551"/>
      <c r="D551"/>
      <c r="E551"/>
      <c r="F551"/>
      <c r="G551"/>
      <c r="H551"/>
      <c r="I551"/>
      <c r="J551"/>
      <c r="K551"/>
      <c r="L551"/>
    </row>
    <row r="552" spans="1:12">
      <c r="A552"/>
      <c r="B552"/>
      <c r="C552"/>
      <c r="D552"/>
      <c r="E552"/>
      <c r="F552"/>
      <c r="G552"/>
      <c r="H552"/>
      <c r="I552"/>
      <c r="J552"/>
      <c r="K552"/>
      <c r="L552"/>
    </row>
    <row r="553" spans="1:12">
      <c r="A553"/>
      <c r="B553"/>
      <c r="C553"/>
      <c r="D553"/>
      <c r="E553"/>
      <c r="F553"/>
      <c r="G553"/>
      <c r="H553"/>
      <c r="I553"/>
      <c r="J553"/>
      <c r="K553"/>
      <c r="L553"/>
    </row>
    <row r="554" spans="1:12">
      <c r="A554"/>
      <c r="B554"/>
      <c r="C554"/>
      <c r="D554"/>
      <c r="E554"/>
      <c r="F554"/>
      <c r="G554"/>
      <c r="H554"/>
      <c r="I554"/>
      <c r="J554"/>
      <c r="K554"/>
      <c r="L554"/>
    </row>
    <row r="555" spans="1:12">
      <c r="A555"/>
      <c r="B555"/>
      <c r="C555"/>
      <c r="D555"/>
      <c r="E555"/>
      <c r="F555"/>
      <c r="G555"/>
      <c r="H555"/>
      <c r="I555"/>
      <c r="J555"/>
      <c r="K555"/>
      <c r="L555"/>
    </row>
    <row r="556" spans="1:12">
      <c r="A556"/>
      <c r="B556"/>
      <c r="C556"/>
      <c r="D556"/>
      <c r="E556"/>
      <c r="F556"/>
      <c r="G556"/>
      <c r="H556"/>
      <c r="I556"/>
      <c r="J556"/>
      <c r="K556"/>
      <c r="L556"/>
    </row>
    <row r="557" spans="1:12">
      <c r="A557"/>
      <c r="B557"/>
      <c r="C557"/>
      <c r="D557"/>
      <c r="E557"/>
      <c r="F557"/>
      <c r="G557"/>
      <c r="H557"/>
      <c r="I557"/>
      <c r="J557"/>
      <c r="K557"/>
      <c r="L557"/>
    </row>
    <row r="558" spans="1:12">
      <c r="A558"/>
      <c r="B558"/>
      <c r="C558"/>
      <c r="D558"/>
      <c r="E558"/>
      <c r="F558"/>
      <c r="G558"/>
      <c r="H558"/>
      <c r="I558"/>
      <c r="J558"/>
      <c r="K558"/>
      <c r="L558"/>
    </row>
    <row r="559" spans="1:12">
      <c r="A559"/>
      <c r="B559"/>
      <c r="C559"/>
      <c r="D559"/>
      <c r="E559"/>
      <c r="F559"/>
      <c r="G559"/>
      <c r="H559"/>
      <c r="I559"/>
      <c r="J559"/>
      <c r="K559"/>
      <c r="L559"/>
    </row>
    <row r="560" spans="1:12">
      <c r="A560"/>
      <c r="B560"/>
      <c r="C560"/>
      <c r="D560"/>
      <c r="E560"/>
      <c r="F560"/>
      <c r="G560"/>
      <c r="H560"/>
      <c r="I560"/>
      <c r="J560"/>
      <c r="K560"/>
      <c r="L560"/>
    </row>
    <row r="561" spans="1:12">
      <c r="A561"/>
      <c r="B561"/>
      <c r="C561"/>
      <c r="D561"/>
      <c r="E561"/>
      <c r="F561"/>
      <c r="G561"/>
      <c r="H561"/>
      <c r="I561"/>
      <c r="J561"/>
      <c r="K561"/>
      <c r="L561"/>
    </row>
    <row r="562" spans="1:12">
      <c r="A562"/>
      <c r="B562"/>
      <c r="C562"/>
      <c r="D562"/>
      <c r="E562"/>
      <c r="F562"/>
      <c r="G562"/>
      <c r="H562"/>
      <c r="I562"/>
      <c r="J562"/>
      <c r="K562"/>
      <c r="L562"/>
    </row>
    <row r="563" spans="1:12">
      <c r="A563"/>
      <c r="B563"/>
      <c r="C563"/>
      <c r="D563"/>
      <c r="E563"/>
      <c r="F563"/>
      <c r="G563"/>
      <c r="H563"/>
      <c r="I563"/>
      <c r="J563"/>
      <c r="K563"/>
      <c r="L563"/>
    </row>
    <row r="564" spans="1:12">
      <c r="A564"/>
      <c r="B564"/>
      <c r="C564"/>
      <c r="D564"/>
      <c r="E564"/>
      <c r="F564"/>
      <c r="G564"/>
      <c r="H564"/>
      <c r="I564"/>
      <c r="J564"/>
      <c r="K564"/>
      <c r="L564"/>
    </row>
    <row r="565" spans="1:12">
      <c r="A565"/>
      <c r="B565"/>
      <c r="C565"/>
      <c r="D565"/>
      <c r="E565"/>
      <c r="F565"/>
      <c r="G565"/>
      <c r="H565"/>
      <c r="I565"/>
      <c r="J565"/>
      <c r="K565"/>
      <c r="L565"/>
    </row>
    <row r="566" spans="1:12">
      <c r="A566"/>
      <c r="B566"/>
      <c r="C566"/>
      <c r="D566"/>
      <c r="E566"/>
      <c r="F566"/>
      <c r="G566"/>
      <c r="H566"/>
      <c r="I566"/>
      <c r="J566"/>
      <c r="K566"/>
      <c r="L566"/>
    </row>
    <row r="567" spans="1:12">
      <c r="A567"/>
      <c r="B567"/>
      <c r="C567"/>
      <c r="D567"/>
      <c r="E567"/>
      <c r="F567"/>
      <c r="G567"/>
      <c r="H567"/>
      <c r="I567"/>
      <c r="J567"/>
      <c r="K567"/>
      <c r="L567"/>
    </row>
    <row r="568" spans="1:12">
      <c r="A568"/>
      <c r="B568"/>
      <c r="C568"/>
      <c r="D568"/>
      <c r="E568"/>
      <c r="F568"/>
      <c r="G568"/>
      <c r="H568"/>
      <c r="I568"/>
      <c r="J568"/>
      <c r="K568"/>
      <c r="L568"/>
    </row>
    <row r="569" spans="1:12">
      <c r="A569"/>
      <c r="B569"/>
      <c r="C569"/>
      <c r="D569"/>
      <c r="E569"/>
      <c r="F569"/>
      <c r="G569"/>
      <c r="H569"/>
      <c r="I569"/>
      <c r="J569"/>
      <c r="K569"/>
      <c r="L569"/>
    </row>
    <row r="570" spans="1:12">
      <c r="A570"/>
      <c r="B570"/>
      <c r="C570"/>
      <c r="D570"/>
      <c r="E570"/>
      <c r="F570"/>
      <c r="G570"/>
      <c r="H570"/>
      <c r="I570"/>
      <c r="J570"/>
      <c r="K570"/>
      <c r="L570"/>
    </row>
    <row r="571" spans="1:12">
      <c r="A571"/>
      <c r="B571"/>
      <c r="C571"/>
      <c r="D571"/>
      <c r="E571"/>
      <c r="F571"/>
      <c r="G571"/>
      <c r="H571"/>
      <c r="I571"/>
      <c r="J571"/>
      <c r="K571"/>
      <c r="L571"/>
    </row>
    <row r="572" spans="1:12">
      <c r="A572"/>
      <c r="B572"/>
      <c r="C572"/>
      <c r="D572"/>
      <c r="E572"/>
      <c r="F572"/>
      <c r="G572"/>
      <c r="H572"/>
      <c r="I572"/>
      <c r="J572"/>
      <c r="K572"/>
      <c r="L572"/>
    </row>
    <row r="573" spans="1:12">
      <c r="A573"/>
      <c r="B573"/>
      <c r="C573"/>
      <c r="D573"/>
      <c r="E573"/>
      <c r="F573"/>
      <c r="G573"/>
      <c r="H573"/>
      <c r="I573"/>
      <c r="J573"/>
      <c r="K573"/>
      <c r="L573"/>
    </row>
    <row r="574" spans="1:12">
      <c r="A574"/>
      <c r="B574"/>
      <c r="C574"/>
      <c r="D574"/>
      <c r="E574"/>
      <c r="F574"/>
      <c r="G574"/>
      <c r="H574"/>
      <c r="I574"/>
      <c r="J574"/>
      <c r="K574"/>
      <c r="L574"/>
    </row>
    <row r="575" spans="1:12">
      <c r="A575"/>
      <c r="B575"/>
      <c r="C575"/>
      <c r="D575"/>
      <c r="E575"/>
      <c r="F575"/>
      <c r="G575"/>
      <c r="H575"/>
      <c r="I575"/>
      <c r="J575"/>
      <c r="K575"/>
      <c r="L575"/>
    </row>
    <row r="576" spans="1:12">
      <c r="A576"/>
      <c r="B576"/>
      <c r="C576"/>
      <c r="D576"/>
      <c r="E576"/>
      <c r="F576"/>
      <c r="G576"/>
      <c r="H576"/>
      <c r="I576"/>
      <c r="J576"/>
      <c r="K576"/>
      <c r="L576"/>
    </row>
    <row r="577" spans="1:12">
      <c r="A577"/>
      <c r="B577"/>
      <c r="C577"/>
      <c r="D577"/>
      <c r="E577"/>
      <c r="F577"/>
      <c r="G577"/>
      <c r="H577"/>
      <c r="I577"/>
      <c r="J577"/>
      <c r="K577"/>
      <c r="L577"/>
    </row>
    <row r="578" spans="1:12">
      <c r="A578"/>
      <c r="B578"/>
      <c r="C578"/>
      <c r="D578"/>
      <c r="E578"/>
      <c r="F578"/>
      <c r="G578"/>
      <c r="H578"/>
      <c r="I578"/>
      <c r="J578"/>
      <c r="K578"/>
      <c r="L578"/>
    </row>
    <row r="579" spans="1:12">
      <c r="A579"/>
      <c r="B579"/>
      <c r="C579"/>
      <c r="D579"/>
      <c r="E579"/>
      <c r="F579"/>
      <c r="G579"/>
      <c r="H579"/>
      <c r="I579"/>
      <c r="J579"/>
      <c r="K579"/>
      <c r="L579"/>
    </row>
    <row r="580" spans="1:12">
      <c r="A580"/>
      <c r="B580"/>
      <c r="C580"/>
      <c r="D580"/>
      <c r="E580"/>
      <c r="F580"/>
      <c r="G580"/>
      <c r="H580"/>
      <c r="I580"/>
      <c r="J580"/>
      <c r="K580"/>
      <c r="L580"/>
    </row>
    <row r="581" spans="1:12">
      <c r="A581"/>
      <c r="B581"/>
      <c r="C581"/>
      <c r="D581"/>
      <c r="E581"/>
      <c r="F581"/>
      <c r="G581"/>
      <c r="H581"/>
      <c r="I581"/>
      <c r="J581"/>
      <c r="K581"/>
      <c r="L581"/>
    </row>
    <row r="582" spans="1:12">
      <c r="A582"/>
      <c r="B582"/>
      <c r="C582"/>
      <c r="D582"/>
      <c r="E582"/>
      <c r="F582"/>
      <c r="G582"/>
      <c r="H582"/>
      <c r="I582"/>
      <c r="J582"/>
      <c r="K582"/>
      <c r="L582"/>
    </row>
    <row r="583" spans="1:12">
      <c r="A583"/>
      <c r="B583"/>
      <c r="C583"/>
      <c r="D583"/>
      <c r="E583"/>
      <c r="F583"/>
      <c r="G583"/>
      <c r="H583"/>
      <c r="I583"/>
      <c r="J583"/>
      <c r="K583"/>
      <c r="L583"/>
    </row>
    <row r="584" spans="1:12">
      <c r="A584"/>
      <c r="B584"/>
      <c r="C584"/>
      <c r="D584"/>
      <c r="E584"/>
      <c r="F584"/>
      <c r="G584"/>
      <c r="H584"/>
      <c r="I584"/>
      <c r="J584"/>
      <c r="K584"/>
      <c r="L584"/>
    </row>
    <row r="585" spans="1:12">
      <c r="A585"/>
      <c r="B585"/>
      <c r="C585"/>
      <c r="D585"/>
      <c r="E585"/>
      <c r="F585"/>
      <c r="G585"/>
      <c r="H585"/>
      <c r="I585"/>
      <c r="J585"/>
      <c r="K585"/>
      <c r="L585"/>
    </row>
    <row r="586" spans="1:12">
      <c r="A586"/>
      <c r="B586"/>
      <c r="C586"/>
      <c r="D586"/>
      <c r="E586"/>
      <c r="F586"/>
      <c r="G586"/>
      <c r="H586"/>
      <c r="I586"/>
      <c r="J586"/>
      <c r="K586"/>
      <c r="L586"/>
    </row>
    <row r="587" spans="1:12">
      <c r="A587"/>
      <c r="B587"/>
      <c r="C587"/>
      <c r="D587"/>
      <c r="E587"/>
      <c r="F587"/>
      <c r="G587"/>
      <c r="H587"/>
      <c r="I587"/>
      <c r="J587"/>
      <c r="K587"/>
      <c r="L587"/>
    </row>
    <row r="588" spans="1:12">
      <c r="A588"/>
      <c r="B588"/>
      <c r="C588"/>
      <c r="D588"/>
      <c r="E588"/>
      <c r="F588"/>
      <c r="G588"/>
      <c r="H588"/>
      <c r="I588"/>
      <c r="J588"/>
      <c r="K588"/>
      <c r="L588"/>
    </row>
    <row r="589" spans="1:12">
      <c r="A589"/>
      <c r="B589"/>
      <c r="C589"/>
      <c r="D589"/>
      <c r="E589"/>
      <c r="F589"/>
      <c r="G589"/>
      <c r="H589"/>
      <c r="I589"/>
      <c r="J589"/>
      <c r="K589"/>
      <c r="L589"/>
    </row>
    <row r="590" spans="1:12">
      <c r="A590"/>
      <c r="B590"/>
      <c r="C590"/>
      <c r="D590"/>
      <c r="E590"/>
      <c r="F590"/>
      <c r="G590"/>
      <c r="H590"/>
      <c r="I590"/>
      <c r="J590"/>
      <c r="K590"/>
      <c r="L590"/>
    </row>
    <row r="591" spans="1:12">
      <c r="A591"/>
      <c r="B591"/>
      <c r="C591"/>
      <c r="D591"/>
      <c r="E591"/>
      <c r="F591"/>
      <c r="G591"/>
      <c r="H591"/>
      <c r="I591"/>
      <c r="J591"/>
      <c r="K591"/>
      <c r="L591"/>
    </row>
    <row r="592" spans="1:12">
      <c r="A592"/>
      <c r="B592"/>
      <c r="C592"/>
      <c r="D592"/>
      <c r="E592"/>
      <c r="F592"/>
      <c r="G592"/>
      <c r="H592"/>
      <c r="I592"/>
      <c r="J592"/>
      <c r="K592"/>
      <c r="L592"/>
    </row>
    <row r="593" spans="1:12">
      <c r="A593"/>
      <c r="B593"/>
      <c r="C593"/>
      <c r="D593"/>
      <c r="E593"/>
      <c r="F593"/>
      <c r="G593"/>
      <c r="H593"/>
      <c r="I593"/>
      <c r="J593"/>
      <c r="K593"/>
      <c r="L593"/>
    </row>
    <row r="594" spans="1:12">
      <c r="A594"/>
      <c r="B594"/>
      <c r="C594"/>
      <c r="D594"/>
      <c r="E594"/>
      <c r="F594"/>
      <c r="G594"/>
      <c r="H594"/>
      <c r="I594"/>
      <c r="J594"/>
      <c r="K594"/>
      <c r="L594"/>
    </row>
    <row r="595" spans="1:12">
      <c r="A595"/>
      <c r="B595"/>
      <c r="C595"/>
      <c r="D595"/>
      <c r="E595"/>
      <c r="F595"/>
      <c r="G595"/>
      <c r="H595"/>
      <c r="I595"/>
      <c r="J595"/>
      <c r="K595"/>
      <c r="L595"/>
    </row>
    <row r="596" spans="1:12">
      <c r="A596"/>
      <c r="B596"/>
      <c r="C596"/>
      <c r="D596"/>
      <c r="E596"/>
      <c r="F596"/>
      <c r="G596"/>
      <c r="H596"/>
      <c r="I596"/>
      <c r="J596"/>
      <c r="K596"/>
      <c r="L596"/>
    </row>
    <row r="597" spans="1:12">
      <c r="A597"/>
      <c r="B597"/>
      <c r="C597"/>
      <c r="D597"/>
      <c r="E597"/>
      <c r="F597"/>
      <c r="G597"/>
      <c r="H597"/>
      <c r="I597"/>
      <c r="J597"/>
      <c r="K597"/>
      <c r="L597"/>
    </row>
    <row r="598" spans="1:12">
      <c r="A598"/>
      <c r="B598"/>
      <c r="C598"/>
      <c r="D598"/>
      <c r="E598"/>
      <c r="F598"/>
      <c r="G598"/>
      <c r="H598"/>
      <c r="I598"/>
      <c r="J598"/>
      <c r="K598"/>
      <c r="L598"/>
    </row>
    <row r="599" spans="1:12">
      <c r="A599"/>
      <c r="B599"/>
      <c r="C599"/>
      <c r="D599"/>
      <c r="E599"/>
      <c r="F599"/>
      <c r="G599"/>
      <c r="H599"/>
      <c r="I599"/>
      <c r="J599"/>
      <c r="K599"/>
      <c r="L599"/>
    </row>
    <row r="600" spans="1:12">
      <c r="A600"/>
      <c r="B600"/>
      <c r="C600"/>
      <c r="D600"/>
      <c r="E600"/>
      <c r="F600"/>
      <c r="G600"/>
      <c r="H600"/>
      <c r="I600"/>
      <c r="J600"/>
      <c r="K600"/>
      <c r="L600"/>
    </row>
    <row r="601" spans="1:12">
      <c r="A601"/>
      <c r="B601"/>
      <c r="C601"/>
      <c r="D601"/>
      <c r="E601"/>
      <c r="F601"/>
      <c r="G601"/>
      <c r="H601"/>
      <c r="I601"/>
      <c r="J601"/>
      <c r="K601"/>
      <c r="L601"/>
    </row>
    <row r="602" spans="1:12">
      <c r="A602"/>
      <c r="B602"/>
      <c r="C602"/>
      <c r="D602"/>
      <c r="E602"/>
      <c r="F602"/>
      <c r="G602"/>
      <c r="H602"/>
      <c r="I602"/>
      <c r="J602"/>
      <c r="K602"/>
      <c r="L602"/>
    </row>
    <row r="603" spans="1:12">
      <c r="A603"/>
      <c r="B603"/>
      <c r="C603"/>
      <c r="D603"/>
      <c r="E603"/>
      <c r="F603"/>
      <c r="G603"/>
      <c r="H603"/>
      <c r="I603"/>
      <c r="J603"/>
      <c r="K603"/>
      <c r="L603"/>
    </row>
    <row r="604" spans="1:12">
      <c r="A604"/>
      <c r="B604"/>
      <c r="C604"/>
      <c r="D604"/>
      <c r="E604"/>
      <c r="F604"/>
      <c r="G604"/>
      <c r="H604"/>
      <c r="I604"/>
      <c r="J604"/>
      <c r="K604"/>
      <c r="L604"/>
    </row>
    <row r="605" spans="1:12">
      <c r="A605"/>
      <c r="B605"/>
      <c r="C605"/>
      <c r="D605"/>
      <c r="E605"/>
      <c r="F605"/>
      <c r="G605"/>
      <c r="H605"/>
      <c r="I605"/>
      <c r="J605"/>
      <c r="K605"/>
      <c r="L605"/>
    </row>
    <row r="606" spans="1:12">
      <c r="A606"/>
      <c r="B606"/>
      <c r="C606"/>
      <c r="D606"/>
      <c r="E606"/>
      <c r="F606"/>
      <c r="G606"/>
      <c r="H606"/>
      <c r="I606"/>
      <c r="J606"/>
      <c r="K606"/>
      <c r="L606"/>
    </row>
    <row r="607" spans="1:12">
      <c r="A607"/>
      <c r="B607"/>
      <c r="C607"/>
      <c r="D607"/>
      <c r="E607"/>
      <c r="F607"/>
      <c r="G607"/>
      <c r="H607"/>
      <c r="I607"/>
      <c r="J607"/>
      <c r="K607"/>
      <c r="L607"/>
    </row>
    <row r="608" spans="1:12">
      <c r="A608"/>
      <c r="B608"/>
      <c r="C608"/>
      <c r="D608"/>
      <c r="E608"/>
      <c r="F608"/>
      <c r="G608"/>
      <c r="H608"/>
      <c r="I608"/>
      <c r="J608"/>
      <c r="K608"/>
      <c r="L608"/>
    </row>
    <row r="609" spans="1:12">
      <c r="A609"/>
      <c r="B609"/>
      <c r="C609"/>
      <c r="D609"/>
      <c r="E609"/>
      <c r="F609"/>
      <c r="G609"/>
      <c r="H609"/>
      <c r="I609"/>
      <c r="J609"/>
      <c r="K609"/>
      <c r="L609"/>
    </row>
    <row r="610" spans="1:12">
      <c r="A610"/>
      <c r="B610"/>
      <c r="C610"/>
      <c r="D610"/>
      <c r="E610"/>
      <c r="F610"/>
      <c r="G610"/>
      <c r="H610"/>
      <c r="I610"/>
      <c r="J610"/>
      <c r="K610"/>
      <c r="L610"/>
    </row>
    <row r="611" spans="1:12">
      <c r="A611"/>
      <c r="B611"/>
      <c r="C611"/>
      <c r="D611"/>
      <c r="E611"/>
      <c r="F611"/>
      <c r="G611"/>
      <c r="H611"/>
      <c r="I611"/>
      <c r="J611"/>
      <c r="K611"/>
      <c r="L611"/>
    </row>
    <row r="612" spans="1:12">
      <c r="A612"/>
      <c r="B612"/>
      <c r="C612"/>
      <c r="D612"/>
      <c r="E612"/>
      <c r="F612"/>
      <c r="G612"/>
      <c r="H612"/>
      <c r="I612"/>
      <c r="J612"/>
      <c r="K612"/>
      <c r="L612"/>
    </row>
    <row r="613" spans="1:12">
      <c r="A613"/>
      <c r="B613"/>
      <c r="C613"/>
      <c r="D613"/>
      <c r="E613"/>
      <c r="F613"/>
      <c r="G613"/>
      <c r="H613"/>
      <c r="I613"/>
      <c r="J613"/>
      <c r="K613"/>
      <c r="L613"/>
    </row>
    <row r="614" spans="1:12">
      <c r="A614"/>
      <c r="B614"/>
      <c r="C614"/>
      <c r="D614"/>
      <c r="E614"/>
      <c r="F614"/>
      <c r="G614"/>
      <c r="H614"/>
      <c r="I614"/>
      <c r="J614"/>
      <c r="K614"/>
      <c r="L614"/>
    </row>
    <row r="615" spans="1:12">
      <c r="A615"/>
      <c r="B615"/>
      <c r="C615"/>
      <c r="D615"/>
      <c r="E615"/>
      <c r="F615"/>
      <c r="G615"/>
      <c r="H615"/>
      <c r="I615"/>
      <c r="J615"/>
      <c r="K615"/>
      <c r="L615"/>
    </row>
    <row r="616" spans="1:12">
      <c r="A616"/>
      <c r="B616"/>
      <c r="C616"/>
      <c r="D616"/>
      <c r="E616"/>
      <c r="F616"/>
      <c r="G616"/>
      <c r="H616"/>
      <c r="I616"/>
      <c r="J616"/>
      <c r="K616"/>
      <c r="L616"/>
    </row>
    <row r="617" spans="1:12">
      <c r="A617"/>
      <c r="B617"/>
      <c r="C617"/>
      <c r="D617"/>
      <c r="E617"/>
      <c r="F617"/>
      <c r="G617"/>
      <c r="H617"/>
      <c r="I617"/>
      <c r="J617"/>
      <c r="K617"/>
      <c r="L617"/>
    </row>
    <row r="618" spans="1:12">
      <c r="A618"/>
      <c r="B618"/>
      <c r="C618"/>
      <c r="D618"/>
      <c r="E618"/>
      <c r="F618"/>
      <c r="G618"/>
      <c r="H618"/>
      <c r="I618"/>
      <c r="J618"/>
      <c r="K618"/>
      <c r="L618"/>
    </row>
    <row r="619" spans="1:12">
      <c r="A619"/>
      <c r="B619"/>
      <c r="C619"/>
      <c r="D619"/>
      <c r="E619"/>
      <c r="F619"/>
      <c r="G619"/>
      <c r="H619"/>
      <c r="I619"/>
      <c r="J619"/>
      <c r="K619"/>
      <c r="L619"/>
    </row>
    <row r="620" spans="1:12">
      <c r="A620"/>
      <c r="B620"/>
      <c r="C620"/>
      <c r="D620"/>
      <c r="E620"/>
      <c r="F620"/>
      <c r="G620"/>
      <c r="H620"/>
      <c r="I620"/>
      <c r="J620"/>
      <c r="K620"/>
      <c r="L620"/>
    </row>
    <row r="621" spans="1:12">
      <c r="A621"/>
      <c r="B621"/>
      <c r="C621"/>
      <c r="D621"/>
      <c r="E621"/>
      <c r="F621"/>
      <c r="G621"/>
      <c r="H621"/>
      <c r="I621"/>
      <c r="J621"/>
      <c r="K621"/>
      <c r="L621"/>
    </row>
    <row r="622" spans="1:12">
      <c r="A622"/>
      <c r="B622"/>
      <c r="C622"/>
      <c r="D622"/>
      <c r="E622"/>
      <c r="F622"/>
      <c r="G622"/>
      <c r="H622"/>
      <c r="I622"/>
      <c r="J622"/>
      <c r="K622"/>
      <c r="L622"/>
    </row>
    <row r="623" spans="1:12">
      <c r="A623"/>
      <c r="B623"/>
      <c r="C623"/>
      <c r="D623"/>
      <c r="E623"/>
      <c r="F623"/>
      <c r="G623"/>
      <c r="H623"/>
      <c r="I623"/>
      <c r="J623"/>
      <c r="K623"/>
      <c r="L623"/>
    </row>
    <row r="624" spans="1:12">
      <c r="A624"/>
      <c r="B624"/>
      <c r="C624"/>
      <c r="D624"/>
      <c r="E624"/>
      <c r="F624"/>
      <c r="G624"/>
      <c r="H624"/>
      <c r="I624"/>
      <c r="J624"/>
      <c r="K624"/>
      <c r="L624"/>
    </row>
    <row r="625" spans="1:12">
      <c r="A625"/>
      <c r="B625"/>
      <c r="C625"/>
      <c r="D625"/>
      <c r="E625"/>
      <c r="F625"/>
      <c r="G625"/>
      <c r="H625"/>
      <c r="I625"/>
      <c r="J625"/>
      <c r="K625"/>
      <c r="L625"/>
    </row>
    <row r="626" spans="1:12">
      <c r="A626"/>
      <c r="B626"/>
      <c r="C626"/>
      <c r="D626"/>
      <c r="E626"/>
      <c r="F626"/>
      <c r="G626"/>
      <c r="H626"/>
      <c r="I626"/>
      <c r="J626"/>
      <c r="K626"/>
      <c r="L626"/>
    </row>
    <row r="627" spans="1:12">
      <c r="A627"/>
      <c r="B627"/>
      <c r="C627"/>
      <c r="D627"/>
      <c r="E627"/>
      <c r="F627"/>
      <c r="G627"/>
      <c r="H627"/>
      <c r="I627"/>
      <c r="J627"/>
      <c r="K627"/>
      <c r="L627"/>
    </row>
    <row r="628" spans="1:12">
      <c r="A628"/>
      <c r="B628"/>
      <c r="C628"/>
      <c r="D628"/>
      <c r="E628"/>
      <c r="F628"/>
      <c r="G628"/>
      <c r="H628"/>
      <c r="I628"/>
      <c r="J628"/>
      <c r="K628"/>
      <c r="L628"/>
    </row>
    <row r="629" spans="1:12">
      <c r="A629"/>
      <c r="B629"/>
      <c r="C629"/>
      <c r="D629"/>
      <c r="E629"/>
      <c r="F629"/>
      <c r="G629"/>
      <c r="H629"/>
      <c r="I629"/>
      <c r="J629"/>
      <c r="K629"/>
      <c r="L629"/>
    </row>
    <row r="630" spans="1:12">
      <c r="A630"/>
      <c r="B630"/>
      <c r="C630"/>
      <c r="D630"/>
      <c r="E630"/>
      <c r="F630"/>
      <c r="G630"/>
      <c r="H630"/>
      <c r="I630"/>
      <c r="J630"/>
      <c r="K630"/>
      <c r="L630"/>
    </row>
    <row r="631" spans="1:12">
      <c r="A631"/>
      <c r="B631"/>
      <c r="C631"/>
      <c r="D631"/>
      <c r="E631"/>
      <c r="F631"/>
      <c r="G631"/>
      <c r="H631"/>
      <c r="I631"/>
      <c r="J631"/>
      <c r="K631"/>
      <c r="L631"/>
    </row>
    <row r="632" spans="1:12">
      <c r="A632"/>
      <c r="B632"/>
      <c r="C632"/>
      <c r="D632"/>
      <c r="E632"/>
      <c r="F632"/>
      <c r="G632"/>
      <c r="H632"/>
      <c r="I632"/>
      <c r="J632"/>
      <c r="K632"/>
      <c r="L632"/>
    </row>
    <row r="633" spans="1:12">
      <c r="A633"/>
      <c r="B633"/>
      <c r="C633"/>
      <c r="D633"/>
      <c r="E633"/>
      <c r="F633"/>
      <c r="G633"/>
      <c r="H633"/>
      <c r="I633"/>
      <c r="J633"/>
      <c r="K633"/>
      <c r="L633"/>
    </row>
    <row r="634" spans="1:12">
      <c r="A634"/>
      <c r="B634"/>
      <c r="C634"/>
      <c r="D634"/>
      <c r="E634"/>
      <c r="F634"/>
      <c r="G634"/>
      <c r="H634"/>
      <c r="I634"/>
      <c r="J634"/>
      <c r="K634"/>
      <c r="L634"/>
    </row>
    <row r="635" spans="1:12">
      <c r="A635"/>
      <c r="B635"/>
      <c r="C635"/>
      <c r="D635"/>
      <c r="E635"/>
      <c r="F635"/>
      <c r="G635"/>
      <c r="H635"/>
      <c r="I635"/>
      <c r="J635"/>
      <c r="K635"/>
      <c r="L635"/>
    </row>
    <row r="636" spans="1:12">
      <c r="A636"/>
      <c r="B636"/>
      <c r="C636"/>
      <c r="D636"/>
      <c r="E636"/>
      <c r="F636"/>
      <c r="G636"/>
      <c r="H636"/>
      <c r="I636"/>
      <c r="J636"/>
      <c r="K636"/>
      <c r="L636"/>
    </row>
    <row r="637" spans="1:12">
      <c r="A637"/>
      <c r="B637"/>
      <c r="C637"/>
      <c r="D637"/>
      <c r="E637"/>
      <c r="F637"/>
      <c r="G637"/>
      <c r="H637"/>
      <c r="I637"/>
      <c r="J637"/>
      <c r="K637"/>
      <c r="L637"/>
    </row>
    <row r="638" spans="1:12">
      <c r="A638"/>
      <c r="B638"/>
      <c r="C638"/>
      <c r="D638"/>
      <c r="E638"/>
      <c r="F638"/>
      <c r="G638"/>
      <c r="H638"/>
      <c r="I638"/>
      <c r="J638"/>
      <c r="K638"/>
      <c r="L638"/>
    </row>
    <row r="639" spans="1:12">
      <c r="A639"/>
      <c r="B639"/>
      <c r="C639"/>
      <c r="D639"/>
      <c r="E639"/>
      <c r="F639"/>
      <c r="G639"/>
      <c r="H639"/>
      <c r="I639"/>
      <c r="J639"/>
      <c r="K639"/>
      <c r="L639"/>
    </row>
    <row r="640" spans="1:12">
      <c r="A640"/>
      <c r="B640"/>
      <c r="C640"/>
      <c r="D640"/>
      <c r="E640"/>
      <c r="F640"/>
      <c r="G640"/>
      <c r="H640"/>
      <c r="I640"/>
      <c r="J640"/>
      <c r="K640"/>
      <c r="L640"/>
    </row>
    <row r="641" spans="1:12">
      <c r="A641"/>
      <c r="B641"/>
      <c r="C641"/>
      <c r="D641"/>
      <c r="E641"/>
      <c r="F641"/>
      <c r="G641"/>
      <c r="H641"/>
      <c r="I641"/>
      <c r="J641"/>
      <c r="K641"/>
      <c r="L641"/>
    </row>
    <row r="642" spans="1:12">
      <c r="A642"/>
      <c r="B642"/>
      <c r="C642"/>
      <c r="D642"/>
      <c r="E642"/>
      <c r="F642"/>
      <c r="G642"/>
      <c r="H642"/>
      <c r="I642"/>
      <c r="J642"/>
      <c r="K642"/>
      <c r="L642"/>
    </row>
    <row r="643" spans="1:12">
      <c r="A643"/>
      <c r="B643"/>
      <c r="C643"/>
      <c r="D643"/>
      <c r="E643"/>
      <c r="F643"/>
      <c r="G643"/>
      <c r="H643"/>
      <c r="I643"/>
      <c r="J643"/>
      <c r="K643"/>
      <c r="L643"/>
    </row>
    <row r="644" spans="1:12">
      <c r="A644"/>
      <c r="B644"/>
      <c r="C644"/>
      <c r="D644"/>
      <c r="E644"/>
      <c r="F644"/>
      <c r="G644"/>
      <c r="H644"/>
      <c r="I644"/>
      <c r="J644"/>
      <c r="K644"/>
      <c r="L644"/>
    </row>
    <row r="645" spans="1:12">
      <c r="A645"/>
      <c r="B645"/>
      <c r="C645"/>
      <c r="D645"/>
      <c r="E645"/>
      <c r="F645"/>
      <c r="G645"/>
      <c r="H645"/>
      <c r="I645"/>
      <c r="J645"/>
      <c r="K645"/>
      <c r="L645"/>
    </row>
    <row r="646" spans="1:12">
      <c r="A646"/>
      <c r="B646"/>
      <c r="C646"/>
      <c r="D646"/>
      <c r="E646"/>
      <c r="F646"/>
      <c r="G646"/>
      <c r="H646"/>
      <c r="I646"/>
      <c r="J646"/>
      <c r="K646"/>
      <c r="L646"/>
    </row>
    <row r="647" spans="1:12">
      <c r="A647"/>
      <c r="B647"/>
      <c r="C647"/>
      <c r="D647"/>
      <c r="E647"/>
      <c r="F647"/>
      <c r="G647"/>
      <c r="H647"/>
      <c r="I647"/>
      <c r="J647"/>
      <c r="K647"/>
      <c r="L647"/>
    </row>
    <row r="648" spans="1:12">
      <c r="A648"/>
      <c r="B648"/>
      <c r="C648"/>
      <c r="D648"/>
      <c r="E648"/>
      <c r="F648"/>
      <c r="G648"/>
      <c r="H648"/>
      <c r="I648"/>
      <c r="J648"/>
      <c r="K648"/>
      <c r="L648"/>
    </row>
    <row r="649" spans="1:12">
      <c r="A649"/>
      <c r="B649"/>
      <c r="C649"/>
      <c r="D649"/>
      <c r="E649"/>
      <c r="F649"/>
      <c r="G649"/>
      <c r="H649"/>
      <c r="I649"/>
      <c r="J649"/>
      <c r="K649"/>
      <c r="L649"/>
    </row>
    <row r="650" spans="1:12">
      <c r="A650"/>
      <c r="B650"/>
      <c r="C650"/>
      <c r="D650"/>
      <c r="E650"/>
      <c r="F650"/>
      <c r="G650"/>
      <c r="H650"/>
      <c r="I650"/>
      <c r="J650"/>
      <c r="K650"/>
      <c r="L650"/>
    </row>
    <row r="651" spans="1:12">
      <c r="A651"/>
      <c r="B651"/>
      <c r="C651"/>
      <c r="D651"/>
      <c r="E651"/>
      <c r="F651"/>
      <c r="G651"/>
      <c r="H651"/>
      <c r="I651"/>
      <c r="J651"/>
      <c r="K651"/>
      <c r="L651"/>
    </row>
    <row r="652" spans="1:12">
      <c r="A652"/>
      <c r="B652"/>
      <c r="C652"/>
      <c r="D652"/>
      <c r="E652"/>
      <c r="F652"/>
      <c r="G652"/>
      <c r="H652"/>
      <c r="I652"/>
      <c r="J652"/>
      <c r="K652"/>
      <c r="L652"/>
    </row>
    <row r="653" spans="1:12">
      <c r="A653"/>
      <c r="B653"/>
      <c r="C653"/>
      <c r="D653"/>
      <c r="E653"/>
      <c r="F653"/>
      <c r="G653"/>
      <c r="H653"/>
      <c r="I653"/>
      <c r="J653"/>
      <c r="K653"/>
      <c r="L653"/>
    </row>
    <row r="654" spans="1:12">
      <c r="A654"/>
      <c r="B654"/>
      <c r="C654"/>
      <c r="D654"/>
      <c r="E654"/>
      <c r="F654"/>
      <c r="G654"/>
      <c r="H654"/>
      <c r="I654"/>
      <c r="J654"/>
      <c r="K654"/>
      <c r="L654"/>
    </row>
    <row r="655" spans="1:12">
      <c r="A655"/>
      <c r="B655"/>
      <c r="C655"/>
      <c r="D655"/>
      <c r="E655"/>
      <c r="F655"/>
      <c r="G655"/>
      <c r="H655"/>
      <c r="I655"/>
      <c r="J655"/>
      <c r="K655"/>
      <c r="L655"/>
    </row>
    <row r="656" spans="1:12">
      <c r="A656"/>
      <c r="B656"/>
      <c r="C656"/>
      <c r="D656"/>
      <c r="E656"/>
      <c r="F656"/>
      <c r="G656"/>
      <c r="H656"/>
      <c r="I656"/>
      <c r="J656"/>
      <c r="K656"/>
      <c r="L656"/>
    </row>
    <row r="657" spans="1:12">
      <c r="A657"/>
      <c r="B657"/>
      <c r="C657"/>
      <c r="D657"/>
      <c r="E657"/>
      <c r="F657"/>
      <c r="G657"/>
      <c r="H657"/>
      <c r="I657"/>
      <c r="J657"/>
      <c r="K657"/>
      <c r="L657"/>
    </row>
    <row r="658" spans="1:12">
      <c r="A658"/>
      <c r="B658"/>
      <c r="C658"/>
      <c r="D658"/>
      <c r="E658"/>
      <c r="F658"/>
      <c r="G658"/>
      <c r="H658"/>
      <c r="I658"/>
      <c r="J658"/>
      <c r="K658"/>
      <c r="L658"/>
    </row>
    <row r="659" spans="1:12">
      <c r="A659"/>
      <c r="B659"/>
      <c r="C659"/>
      <c r="D659"/>
      <c r="E659"/>
      <c r="F659"/>
      <c r="G659"/>
      <c r="H659"/>
      <c r="I659"/>
      <c r="J659"/>
      <c r="K659"/>
      <c r="L659"/>
    </row>
    <row r="660" spans="1:12">
      <c r="A660"/>
      <c r="B660"/>
      <c r="C660"/>
      <c r="D660"/>
      <c r="E660"/>
      <c r="F660"/>
      <c r="G660"/>
      <c r="H660"/>
      <c r="I660"/>
      <c r="J660"/>
      <c r="K660"/>
      <c r="L660"/>
    </row>
    <row r="661" spans="1:12">
      <c r="A661"/>
      <c r="B661"/>
      <c r="C661"/>
      <c r="D661"/>
      <c r="E661"/>
      <c r="F661"/>
      <c r="G661"/>
      <c r="H661"/>
      <c r="I661"/>
      <c r="J661"/>
      <c r="K661"/>
      <c r="L661"/>
    </row>
    <row r="662" spans="1:12">
      <c r="A662"/>
      <c r="B662"/>
      <c r="C662"/>
      <c r="D662"/>
      <c r="E662"/>
      <c r="F662"/>
      <c r="G662"/>
      <c r="H662"/>
      <c r="I662"/>
      <c r="J662"/>
      <c r="K662"/>
      <c r="L662"/>
    </row>
    <row r="663" spans="1:12">
      <c r="A663"/>
      <c r="B663"/>
      <c r="C663"/>
      <c r="D663"/>
      <c r="E663"/>
      <c r="F663"/>
      <c r="G663"/>
      <c r="H663"/>
      <c r="I663"/>
      <c r="J663"/>
      <c r="K663"/>
      <c r="L663"/>
    </row>
    <row r="664" spans="1:12">
      <c r="A664"/>
      <c r="B664"/>
      <c r="C664"/>
      <c r="D664"/>
      <c r="E664"/>
      <c r="F664"/>
      <c r="G664"/>
      <c r="H664"/>
      <c r="I664"/>
      <c r="J664"/>
      <c r="K664"/>
      <c r="L664"/>
    </row>
    <row r="665" spans="1:12">
      <c r="A665"/>
      <c r="B665"/>
      <c r="C665"/>
      <c r="D665"/>
      <c r="E665"/>
      <c r="F665"/>
      <c r="G665"/>
      <c r="H665"/>
      <c r="I665"/>
      <c r="J665"/>
      <c r="K665"/>
      <c r="L665"/>
    </row>
    <row r="666" spans="1:12">
      <c r="A666"/>
      <c r="B666"/>
      <c r="C666"/>
      <c r="D666"/>
      <c r="E666"/>
      <c r="F666"/>
      <c r="G666"/>
      <c r="H666"/>
      <c r="I666"/>
      <c r="J666"/>
      <c r="K666"/>
      <c r="L666"/>
    </row>
    <row r="667" spans="1:12">
      <c r="A667"/>
      <c r="B667"/>
      <c r="C667"/>
      <c r="D667"/>
      <c r="E667"/>
      <c r="F667"/>
      <c r="G667"/>
      <c r="H667"/>
      <c r="I667"/>
      <c r="J667"/>
      <c r="K667"/>
      <c r="L667"/>
    </row>
    <row r="668" spans="1:12">
      <c r="A668"/>
      <c r="B668"/>
      <c r="C668"/>
      <c r="D668"/>
      <c r="E668"/>
      <c r="F668"/>
      <c r="G668"/>
      <c r="H668"/>
      <c r="I668"/>
      <c r="J668"/>
      <c r="K668"/>
      <c r="L668"/>
    </row>
    <row r="669" spans="1:12">
      <c r="A669"/>
      <c r="B669"/>
      <c r="C669"/>
      <c r="D669"/>
      <c r="E669"/>
      <c r="F669"/>
      <c r="G669"/>
      <c r="H669"/>
      <c r="I669"/>
      <c r="J669"/>
      <c r="K669"/>
      <c r="L669"/>
    </row>
    <row r="670" spans="1:12">
      <c r="A670"/>
      <c r="B670"/>
      <c r="C670"/>
      <c r="D670"/>
      <c r="E670"/>
      <c r="F670"/>
      <c r="G670"/>
      <c r="H670"/>
      <c r="I670"/>
      <c r="J670"/>
      <c r="K670"/>
      <c r="L670"/>
    </row>
    <row r="671" spans="1:12">
      <c r="A671"/>
      <c r="B671"/>
      <c r="C671"/>
      <c r="D671"/>
      <c r="E671"/>
      <c r="F671"/>
      <c r="G671"/>
      <c r="H671"/>
      <c r="I671"/>
      <c r="J671"/>
      <c r="K671"/>
      <c r="L671"/>
    </row>
    <row r="672" spans="1:12">
      <c r="A672"/>
      <c r="B672"/>
      <c r="C672"/>
      <c r="D672"/>
      <c r="E672"/>
      <c r="F672"/>
      <c r="G672"/>
      <c r="H672"/>
      <c r="I672"/>
      <c r="J672"/>
      <c r="K672"/>
      <c r="L672"/>
    </row>
    <row r="673" spans="1:12">
      <c r="A673"/>
      <c r="B673"/>
      <c r="C673"/>
      <c r="D673"/>
      <c r="E673"/>
      <c r="F673"/>
      <c r="G673"/>
      <c r="H673"/>
      <c r="I673"/>
      <c r="J673"/>
      <c r="K673"/>
      <c r="L673"/>
    </row>
    <row r="674" spans="1:12">
      <c r="A674"/>
      <c r="B674"/>
      <c r="C674"/>
      <c r="D674"/>
      <c r="E674"/>
      <c r="F674"/>
      <c r="G674"/>
      <c r="H674"/>
      <c r="I674"/>
      <c r="J674"/>
      <c r="K674"/>
      <c r="L674"/>
    </row>
    <row r="675" spans="1:12">
      <c r="A675"/>
      <c r="B675"/>
      <c r="C675"/>
      <c r="D675"/>
      <c r="E675"/>
      <c r="F675"/>
      <c r="G675"/>
      <c r="H675"/>
      <c r="I675"/>
      <c r="J675"/>
      <c r="K675"/>
      <c r="L675"/>
    </row>
    <row r="676" spans="1:12">
      <c r="A676"/>
      <c r="B676"/>
      <c r="C676"/>
      <c r="D676"/>
      <c r="E676"/>
      <c r="F676"/>
      <c r="G676"/>
      <c r="H676"/>
      <c r="I676"/>
      <c r="J676"/>
      <c r="K676"/>
      <c r="L676"/>
    </row>
    <row r="677" spans="1:12">
      <c r="A677"/>
      <c r="B677"/>
      <c r="C677"/>
      <c r="D677"/>
      <c r="E677"/>
      <c r="F677"/>
      <c r="G677"/>
      <c r="H677"/>
      <c r="I677"/>
      <c r="J677"/>
      <c r="K677"/>
      <c r="L677"/>
    </row>
    <row r="678" spans="1:12">
      <c r="A678"/>
      <c r="B678"/>
      <c r="C678"/>
      <c r="D678"/>
      <c r="E678"/>
      <c r="F678"/>
      <c r="G678"/>
      <c r="H678"/>
      <c r="I678"/>
      <c r="J678"/>
      <c r="K678"/>
      <c r="L678"/>
    </row>
    <row r="679" spans="1:12">
      <c r="A679"/>
      <c r="B679"/>
      <c r="C679"/>
      <c r="D679"/>
      <c r="E679"/>
      <c r="F679"/>
      <c r="G679"/>
      <c r="H679"/>
      <c r="I679"/>
      <c r="J679"/>
      <c r="K679"/>
      <c r="L679"/>
    </row>
    <row r="680" spans="1:12">
      <c r="A680"/>
      <c r="B680"/>
      <c r="C680"/>
      <c r="D680"/>
      <c r="E680"/>
      <c r="F680"/>
      <c r="G680"/>
      <c r="H680"/>
      <c r="I680"/>
      <c r="J680"/>
      <c r="K680"/>
      <c r="L680"/>
    </row>
    <row r="681" spans="1:12">
      <c r="A681"/>
      <c r="B681"/>
      <c r="C681"/>
      <c r="D681"/>
      <c r="E681"/>
      <c r="F681"/>
      <c r="G681"/>
      <c r="H681"/>
      <c r="I681"/>
      <c r="J681"/>
      <c r="K681"/>
      <c r="L681"/>
    </row>
    <row r="682" spans="1:12">
      <c r="A682"/>
      <c r="B682"/>
      <c r="C682"/>
      <c r="D682"/>
      <c r="E682"/>
      <c r="F682"/>
      <c r="G682"/>
      <c r="H682"/>
      <c r="I682"/>
      <c r="J682"/>
      <c r="K682"/>
      <c r="L682"/>
    </row>
    <row r="683" spans="1:12">
      <c r="A683"/>
      <c r="B683"/>
      <c r="C683"/>
      <c r="D683"/>
      <c r="E683"/>
      <c r="F683"/>
      <c r="G683"/>
      <c r="H683"/>
      <c r="I683"/>
      <c r="J683"/>
      <c r="K683"/>
      <c r="L683"/>
    </row>
    <row r="684" spans="1:12">
      <c r="A684"/>
      <c r="B684"/>
      <c r="C684"/>
      <c r="D684"/>
      <c r="E684"/>
      <c r="F684"/>
      <c r="G684"/>
      <c r="H684"/>
      <c r="I684"/>
      <c r="J684"/>
      <c r="K684"/>
      <c r="L684"/>
    </row>
    <row r="685" spans="1:12">
      <c r="A685"/>
      <c r="B685"/>
      <c r="C685"/>
      <c r="D685"/>
      <c r="E685"/>
      <c r="F685"/>
      <c r="G685"/>
      <c r="H685"/>
      <c r="I685"/>
      <c r="J685"/>
      <c r="K685"/>
      <c r="L685"/>
    </row>
    <row r="686" spans="1:12">
      <c r="A686"/>
      <c r="B686"/>
      <c r="C686"/>
      <c r="D686"/>
      <c r="E686"/>
      <c r="F686"/>
      <c r="G686"/>
      <c r="H686"/>
      <c r="I686"/>
      <c r="J686"/>
      <c r="K686"/>
      <c r="L686"/>
    </row>
    <row r="687" spans="1:12">
      <c r="A687"/>
      <c r="B687"/>
      <c r="C687"/>
      <c r="D687"/>
      <c r="E687"/>
      <c r="F687"/>
      <c r="G687"/>
      <c r="H687"/>
      <c r="I687"/>
      <c r="J687"/>
      <c r="K687"/>
      <c r="L687"/>
    </row>
    <row r="688" spans="1:12">
      <c r="A688"/>
      <c r="B688"/>
      <c r="C688"/>
      <c r="D688"/>
      <c r="E688"/>
      <c r="F688"/>
      <c r="G688"/>
      <c r="H688"/>
      <c r="I688"/>
      <c r="J688"/>
      <c r="K688"/>
      <c r="L688"/>
    </row>
    <row r="689" spans="1:12">
      <c r="A689"/>
      <c r="B689"/>
      <c r="C689"/>
      <c r="D689"/>
      <c r="E689"/>
      <c r="F689"/>
      <c r="G689"/>
      <c r="H689"/>
      <c r="I689"/>
      <c r="J689"/>
      <c r="K689"/>
      <c r="L689"/>
    </row>
    <row r="690" spans="1:12">
      <c r="A690"/>
      <c r="B690"/>
      <c r="C690"/>
      <c r="D690"/>
      <c r="E690"/>
      <c r="F690"/>
      <c r="G690"/>
      <c r="H690"/>
      <c r="I690"/>
      <c r="J690"/>
      <c r="K690"/>
      <c r="L690"/>
    </row>
    <row r="691" spans="1:12">
      <c r="A691"/>
      <c r="B691"/>
      <c r="C691"/>
      <c r="D691"/>
      <c r="E691"/>
      <c r="F691"/>
      <c r="G691"/>
      <c r="H691"/>
      <c r="I691"/>
      <c r="J691"/>
      <c r="K691"/>
      <c r="L691"/>
    </row>
    <row r="692" spans="1:12">
      <c r="A692"/>
      <c r="B692"/>
      <c r="C692"/>
      <c r="D692"/>
      <c r="E692"/>
      <c r="F692"/>
      <c r="G692"/>
      <c r="H692"/>
      <c r="I692"/>
      <c r="J692"/>
      <c r="K692"/>
      <c r="L692"/>
    </row>
    <row r="693" spans="1:12">
      <c r="A693"/>
      <c r="B693"/>
      <c r="C693"/>
      <c r="D693"/>
      <c r="E693"/>
      <c r="F693"/>
      <c r="G693"/>
      <c r="H693"/>
      <c r="I693"/>
      <c r="J693"/>
      <c r="K693"/>
      <c r="L693"/>
    </row>
    <row r="694" spans="1:12">
      <c r="A694"/>
      <c r="B694"/>
      <c r="C694"/>
      <c r="D694"/>
      <c r="E694"/>
      <c r="F694"/>
      <c r="G694"/>
      <c r="H694"/>
      <c r="I694"/>
      <c r="J694"/>
      <c r="K694"/>
      <c r="L694"/>
    </row>
    <row r="695" spans="1:12">
      <c r="A695"/>
      <c r="B695"/>
      <c r="C695"/>
      <c r="D695"/>
      <c r="E695"/>
      <c r="F695"/>
      <c r="G695"/>
      <c r="H695"/>
      <c r="I695"/>
      <c r="J695"/>
      <c r="K695"/>
      <c r="L695"/>
    </row>
    <row r="696" spans="1:12">
      <c r="A696"/>
      <c r="B696"/>
      <c r="C696"/>
      <c r="D696"/>
      <c r="E696"/>
      <c r="F696"/>
      <c r="G696"/>
      <c r="H696"/>
      <c r="I696"/>
      <c r="J696"/>
      <c r="K696"/>
      <c r="L696"/>
    </row>
    <row r="697" spans="1:12">
      <c r="A697"/>
      <c r="B697"/>
      <c r="C697"/>
      <c r="D697"/>
      <c r="E697"/>
      <c r="F697"/>
      <c r="G697"/>
      <c r="H697"/>
      <c r="I697"/>
      <c r="J697"/>
      <c r="K697"/>
      <c r="L697"/>
    </row>
    <row r="698" spans="1:12">
      <c r="A698"/>
      <c r="B698"/>
      <c r="C698"/>
      <c r="D698"/>
      <c r="E698"/>
      <c r="F698"/>
      <c r="G698"/>
      <c r="H698"/>
      <c r="I698"/>
      <c r="J698"/>
      <c r="K698"/>
      <c r="L698"/>
    </row>
    <row r="699" spans="1:12">
      <c r="A699"/>
      <c r="B699"/>
      <c r="C699"/>
      <c r="D699"/>
      <c r="E699"/>
      <c r="F699"/>
      <c r="G699"/>
      <c r="H699"/>
      <c r="I699"/>
      <c r="J699"/>
      <c r="K699"/>
      <c r="L699"/>
    </row>
    <row r="700" spans="1:12">
      <c r="A700"/>
      <c r="B700"/>
      <c r="C700"/>
      <c r="D700"/>
      <c r="E700"/>
      <c r="F700"/>
      <c r="G700"/>
      <c r="H700"/>
      <c r="I700"/>
      <c r="J700"/>
      <c r="K700"/>
      <c r="L700"/>
    </row>
    <row r="701" spans="1:12">
      <c r="A701"/>
      <c r="B701"/>
      <c r="C701"/>
      <c r="D701"/>
      <c r="E701"/>
      <c r="F701"/>
      <c r="G701"/>
      <c r="H701"/>
      <c r="I701"/>
      <c r="J701"/>
      <c r="K701"/>
      <c r="L701"/>
    </row>
    <row r="702" spans="1:12">
      <c r="A702"/>
      <c r="B702"/>
      <c r="C702"/>
      <c r="D702"/>
      <c r="E702"/>
      <c r="F702"/>
      <c r="G702"/>
      <c r="H702"/>
      <c r="I702"/>
      <c r="J702"/>
      <c r="K702"/>
      <c r="L702"/>
    </row>
    <row r="703" spans="1:12">
      <c r="A703"/>
      <c r="B703"/>
      <c r="C703"/>
      <c r="D703"/>
      <c r="E703"/>
      <c r="F703"/>
      <c r="G703"/>
      <c r="H703"/>
      <c r="I703"/>
      <c r="J703"/>
      <c r="K703"/>
      <c r="L703"/>
    </row>
    <row r="704" spans="1:12">
      <c r="A704"/>
      <c r="B704"/>
      <c r="C704"/>
      <c r="D704"/>
      <c r="E704"/>
      <c r="F704"/>
      <c r="G704"/>
      <c r="H704"/>
      <c r="I704"/>
      <c r="J704"/>
      <c r="K704"/>
      <c r="L704"/>
    </row>
    <row r="705" spans="1:12">
      <c r="A705"/>
      <c r="B705"/>
      <c r="C705"/>
      <c r="D705"/>
      <c r="E705"/>
      <c r="F705"/>
      <c r="G705"/>
      <c r="H705"/>
      <c r="I705"/>
      <c r="J705"/>
      <c r="K705"/>
      <c r="L705"/>
    </row>
    <row r="706" spans="1:12">
      <c r="A706"/>
      <c r="B706"/>
      <c r="C706"/>
      <c r="D706"/>
      <c r="E706"/>
      <c r="F706"/>
      <c r="G706"/>
      <c r="H706"/>
      <c r="I706"/>
      <c r="J706"/>
      <c r="K706"/>
      <c r="L706"/>
    </row>
    <row r="707" spans="1:12">
      <c r="A707"/>
      <c r="B707"/>
      <c r="C707"/>
      <c r="D707"/>
      <c r="E707"/>
      <c r="F707"/>
      <c r="G707"/>
      <c r="H707"/>
      <c r="I707"/>
      <c r="J707"/>
      <c r="K707"/>
      <c r="L707"/>
    </row>
    <row r="708" spans="1:12">
      <c r="A708"/>
      <c r="B708"/>
      <c r="C708"/>
      <c r="D708"/>
      <c r="E708"/>
      <c r="F708"/>
      <c r="G708"/>
      <c r="H708"/>
      <c r="I708"/>
      <c r="J708"/>
      <c r="K708"/>
      <c r="L708"/>
    </row>
    <row r="709" spans="1:12">
      <c r="A709"/>
      <c r="B709"/>
      <c r="C709"/>
      <c r="D709"/>
      <c r="E709"/>
      <c r="F709"/>
      <c r="G709"/>
      <c r="H709"/>
      <c r="I709"/>
      <c r="J709"/>
      <c r="K709"/>
      <c r="L709"/>
    </row>
    <row r="710" spans="1:12">
      <c r="A710"/>
      <c r="B710"/>
      <c r="C710"/>
      <c r="D710"/>
      <c r="E710"/>
      <c r="F710"/>
      <c r="G710"/>
      <c r="H710"/>
      <c r="I710"/>
      <c r="J710"/>
      <c r="K710"/>
      <c r="L710"/>
    </row>
    <row r="711" spans="1:12">
      <c r="A711"/>
      <c r="B711"/>
      <c r="C711"/>
      <c r="D711"/>
      <c r="E711"/>
      <c r="F711"/>
      <c r="G711"/>
      <c r="H711"/>
      <c r="I711"/>
      <c r="J711"/>
      <c r="K711"/>
      <c r="L711"/>
    </row>
    <row r="712" spans="1:12">
      <c r="A712"/>
      <c r="B712"/>
      <c r="C712"/>
      <c r="D712"/>
      <c r="E712"/>
      <c r="F712"/>
      <c r="G712"/>
      <c r="H712"/>
      <c r="I712"/>
      <c r="J712"/>
      <c r="K712"/>
      <c r="L712"/>
    </row>
    <row r="713" spans="1:12">
      <c r="A713"/>
      <c r="B713"/>
      <c r="C713"/>
      <c r="D713"/>
      <c r="E713"/>
      <c r="F713"/>
      <c r="G713"/>
      <c r="H713"/>
      <c r="I713"/>
      <c r="J713"/>
      <c r="K713"/>
      <c r="L713"/>
    </row>
    <row r="714" spans="1:12">
      <c r="A714"/>
      <c r="B714"/>
      <c r="C714"/>
      <c r="D714"/>
      <c r="E714"/>
      <c r="F714"/>
      <c r="G714"/>
      <c r="H714"/>
      <c r="I714"/>
      <c r="J714"/>
      <c r="K714"/>
      <c r="L714"/>
    </row>
    <row r="715" spans="1:12">
      <c r="A715"/>
      <c r="B715"/>
      <c r="C715"/>
      <c r="D715"/>
      <c r="E715"/>
      <c r="F715"/>
      <c r="G715"/>
      <c r="H715"/>
      <c r="I715"/>
      <c r="J715"/>
      <c r="K715"/>
      <c r="L715"/>
    </row>
    <row r="716" spans="1:12">
      <c r="A716"/>
      <c r="B716"/>
      <c r="C716"/>
      <c r="D716"/>
      <c r="E716"/>
      <c r="F716"/>
      <c r="G716"/>
      <c r="H716"/>
      <c r="I716"/>
      <c r="J716"/>
      <c r="K716"/>
      <c r="L716"/>
    </row>
    <row r="717" spans="1:12">
      <c r="A717"/>
      <c r="B717"/>
      <c r="C717"/>
      <c r="D717"/>
      <c r="E717"/>
      <c r="F717"/>
      <c r="G717"/>
      <c r="H717"/>
      <c r="I717"/>
      <c r="J717"/>
      <c r="K717"/>
      <c r="L717"/>
    </row>
    <row r="718" spans="1:12">
      <c r="A718"/>
      <c r="B718"/>
      <c r="C718"/>
      <c r="D718"/>
      <c r="E718"/>
      <c r="F718"/>
      <c r="G718"/>
      <c r="H718"/>
      <c r="I718"/>
      <c r="J718"/>
      <c r="K718"/>
      <c r="L718"/>
    </row>
    <row r="719" spans="1:12">
      <c r="A719"/>
      <c r="B719"/>
      <c r="C719"/>
      <c r="D719"/>
      <c r="E719"/>
      <c r="F719"/>
      <c r="G719"/>
      <c r="H719"/>
      <c r="I719"/>
      <c r="J719"/>
      <c r="K719"/>
      <c r="L719"/>
    </row>
    <row r="720" spans="1:12">
      <c r="A720"/>
      <c r="B720"/>
      <c r="C720"/>
      <c r="D720"/>
      <c r="E720"/>
      <c r="F720"/>
      <c r="G720"/>
      <c r="H720"/>
      <c r="I720"/>
      <c r="J720"/>
      <c r="K720"/>
      <c r="L720"/>
    </row>
    <row r="721" spans="1:12">
      <c r="A721"/>
      <c r="B721"/>
      <c r="C721"/>
      <c r="D721"/>
      <c r="E721"/>
      <c r="F721"/>
      <c r="G721"/>
      <c r="H721"/>
      <c r="I721"/>
      <c r="J721"/>
      <c r="K721"/>
      <c r="L721"/>
    </row>
    <row r="722" spans="1:12">
      <c r="A722"/>
      <c r="B722"/>
      <c r="C722"/>
      <c r="D722"/>
      <c r="E722"/>
      <c r="F722"/>
      <c r="G722"/>
      <c r="H722"/>
      <c r="I722"/>
      <c r="J722"/>
      <c r="K722"/>
      <c r="L722"/>
    </row>
    <row r="723" spans="1:12">
      <c r="A723"/>
      <c r="B723"/>
      <c r="C723"/>
      <c r="D723"/>
      <c r="E723"/>
      <c r="F723"/>
      <c r="G723"/>
      <c r="H723"/>
      <c r="I723"/>
      <c r="J723"/>
      <c r="K723"/>
      <c r="L723"/>
    </row>
    <row r="724" spans="1:12">
      <c r="A724"/>
      <c r="B724"/>
      <c r="C724"/>
      <c r="D724"/>
      <c r="E724"/>
      <c r="F724"/>
      <c r="G724"/>
      <c r="H724"/>
      <c r="I724"/>
      <c r="J724"/>
      <c r="K724"/>
      <c r="L724"/>
    </row>
    <row r="725" spans="1:12">
      <c r="A725"/>
      <c r="B725"/>
      <c r="C725"/>
      <c r="D725"/>
      <c r="E725"/>
      <c r="F725"/>
      <c r="G725"/>
      <c r="H725"/>
      <c r="I725"/>
      <c r="J725"/>
      <c r="K725"/>
      <c r="L725"/>
    </row>
    <row r="726" spans="1:12">
      <c r="A726"/>
      <c r="B726"/>
      <c r="C726"/>
      <c r="D726"/>
      <c r="E726"/>
      <c r="F726"/>
      <c r="G726"/>
      <c r="H726"/>
      <c r="I726"/>
      <c r="J726"/>
      <c r="K726"/>
      <c r="L726"/>
    </row>
    <row r="727" spans="1:12">
      <c r="A727"/>
      <c r="B727"/>
      <c r="C727"/>
      <c r="D727"/>
      <c r="E727"/>
      <c r="F727"/>
      <c r="G727"/>
      <c r="H727"/>
      <c r="I727"/>
      <c r="J727"/>
      <c r="K727"/>
      <c r="L727"/>
    </row>
    <row r="728" spans="1:12">
      <c r="A728"/>
      <c r="B728"/>
      <c r="C728"/>
      <c r="D728"/>
      <c r="E728"/>
      <c r="F728"/>
      <c r="G728"/>
      <c r="H728"/>
      <c r="I728"/>
      <c r="J728"/>
      <c r="K728"/>
      <c r="L728"/>
    </row>
    <row r="729" spans="1:12">
      <c r="A729"/>
      <c r="B729"/>
      <c r="C729"/>
      <c r="D729"/>
      <c r="E729"/>
      <c r="F729"/>
      <c r="G729"/>
      <c r="H729"/>
      <c r="I729"/>
      <c r="J729"/>
      <c r="K729"/>
      <c r="L729"/>
    </row>
    <row r="730" spans="1:12">
      <c r="A730"/>
      <c r="B730"/>
      <c r="C730"/>
      <c r="D730"/>
      <c r="E730"/>
      <c r="F730"/>
      <c r="G730"/>
      <c r="H730"/>
      <c r="I730"/>
      <c r="J730"/>
      <c r="K730"/>
      <c r="L730"/>
    </row>
    <row r="731" spans="1:12">
      <c r="A731"/>
      <c r="B731"/>
      <c r="C731"/>
      <c r="D731"/>
      <c r="E731"/>
      <c r="F731"/>
      <c r="G731"/>
      <c r="H731"/>
      <c r="I731"/>
      <c r="J731"/>
      <c r="K731"/>
      <c r="L731"/>
    </row>
    <row r="732" spans="1:12">
      <c r="A732"/>
      <c r="B732"/>
      <c r="C732"/>
      <c r="D732"/>
      <c r="E732"/>
      <c r="F732"/>
      <c r="G732"/>
      <c r="H732"/>
      <c r="I732"/>
      <c r="J732"/>
      <c r="K732"/>
      <c r="L732"/>
    </row>
    <row r="733" spans="1:12">
      <c r="A733"/>
      <c r="B733"/>
      <c r="C733"/>
      <c r="D733"/>
      <c r="E733"/>
      <c r="F733"/>
      <c r="G733"/>
      <c r="H733"/>
      <c r="I733"/>
      <c r="J733"/>
      <c r="K733"/>
      <c r="L733"/>
    </row>
    <row r="734" spans="1:12">
      <c r="A734"/>
      <c r="B734"/>
      <c r="C734"/>
      <c r="D734"/>
      <c r="E734"/>
      <c r="F734"/>
      <c r="G734"/>
      <c r="H734"/>
      <c r="I734"/>
      <c r="J734"/>
      <c r="K734"/>
      <c r="L734"/>
    </row>
    <row r="735" spans="1:12">
      <c r="A735"/>
      <c r="B735"/>
      <c r="C735"/>
      <c r="D735"/>
      <c r="E735"/>
      <c r="F735"/>
      <c r="G735"/>
      <c r="H735"/>
      <c r="I735"/>
      <c r="J735"/>
      <c r="K735"/>
      <c r="L735"/>
    </row>
    <row r="736" spans="1:12">
      <c r="A736"/>
      <c r="B736"/>
      <c r="C736"/>
      <c r="D736"/>
      <c r="E736"/>
      <c r="F736"/>
      <c r="G736"/>
      <c r="H736"/>
      <c r="I736"/>
      <c r="J736"/>
      <c r="K736"/>
      <c r="L736"/>
    </row>
    <row r="737" spans="1:12">
      <c r="A737"/>
      <c r="B737"/>
      <c r="C737"/>
      <c r="D737"/>
      <c r="E737"/>
      <c r="F737"/>
      <c r="G737"/>
      <c r="H737"/>
      <c r="I737"/>
      <c r="J737"/>
      <c r="K737"/>
      <c r="L737"/>
    </row>
    <row r="738" spans="1:12">
      <c r="A738"/>
      <c r="B738"/>
      <c r="C738"/>
      <c r="D738"/>
      <c r="E738"/>
      <c r="F738"/>
      <c r="G738"/>
      <c r="H738"/>
      <c r="I738"/>
      <c r="J738"/>
      <c r="K738"/>
      <c r="L738"/>
    </row>
    <row r="739" spans="1:12">
      <c r="A739"/>
      <c r="B739"/>
      <c r="C739"/>
      <c r="D739"/>
      <c r="E739"/>
      <c r="F739"/>
      <c r="G739"/>
      <c r="H739"/>
      <c r="I739"/>
      <c r="J739"/>
      <c r="K739"/>
      <c r="L739"/>
    </row>
    <row r="740" spans="1:12">
      <c r="A740"/>
      <c r="B740"/>
      <c r="C740"/>
      <c r="D740"/>
      <c r="E740"/>
      <c r="F740"/>
      <c r="G740"/>
      <c r="H740"/>
      <c r="I740"/>
      <c r="J740"/>
      <c r="K740"/>
      <c r="L740"/>
    </row>
    <row r="741" spans="1:12">
      <c r="A741"/>
      <c r="B741"/>
      <c r="C741"/>
      <c r="D741"/>
      <c r="E741"/>
      <c r="F741"/>
      <c r="G741"/>
      <c r="H741"/>
      <c r="I741"/>
      <c r="J741"/>
      <c r="K741"/>
      <c r="L741"/>
    </row>
    <row r="742" spans="1:12">
      <c r="A742"/>
      <c r="B742"/>
      <c r="C742"/>
      <c r="D742"/>
      <c r="E742"/>
      <c r="F742"/>
      <c r="G742"/>
      <c r="H742"/>
      <c r="I742"/>
      <c r="J742"/>
      <c r="K742"/>
      <c r="L742"/>
    </row>
    <row r="743" spans="1:12">
      <c r="A743"/>
      <c r="B743"/>
      <c r="C743"/>
      <c r="D743"/>
      <c r="E743"/>
      <c r="F743"/>
      <c r="G743"/>
      <c r="H743"/>
      <c r="I743"/>
      <c r="J743"/>
      <c r="K743"/>
      <c r="L743"/>
    </row>
    <row r="744" spans="1:12">
      <c r="A744"/>
      <c r="B744"/>
      <c r="C744"/>
      <c r="D744"/>
      <c r="E744"/>
      <c r="F744"/>
      <c r="G744"/>
      <c r="H744"/>
      <c r="I744"/>
      <c r="J744"/>
      <c r="K744"/>
      <c r="L744"/>
    </row>
    <row r="745" spans="1:12">
      <c r="A745"/>
      <c r="B745"/>
      <c r="C745"/>
      <c r="D745"/>
      <c r="E745"/>
      <c r="F745"/>
      <c r="G745"/>
      <c r="H745"/>
      <c r="I745"/>
      <c r="J745"/>
      <c r="K745"/>
      <c r="L745"/>
    </row>
    <row r="746" spans="1:12">
      <c r="A746"/>
      <c r="B746"/>
      <c r="C746"/>
      <c r="D746"/>
      <c r="E746"/>
      <c r="F746"/>
      <c r="G746"/>
      <c r="H746"/>
      <c r="I746"/>
      <c r="J746"/>
      <c r="K746"/>
      <c r="L746"/>
    </row>
    <row r="747" spans="1:12">
      <c r="A747"/>
      <c r="B747"/>
      <c r="C747"/>
      <c r="D747"/>
      <c r="E747"/>
      <c r="F747"/>
      <c r="G747"/>
      <c r="H747"/>
      <c r="I747"/>
      <c r="J747"/>
      <c r="K747"/>
      <c r="L747"/>
    </row>
    <row r="748" spans="1:12">
      <c r="A748"/>
      <c r="B748"/>
      <c r="C748"/>
      <c r="D748"/>
      <c r="E748"/>
      <c r="F748"/>
      <c r="G748"/>
      <c r="H748"/>
      <c r="I748"/>
      <c r="J748"/>
      <c r="K748"/>
      <c r="L748"/>
    </row>
    <row r="749" spans="1:12">
      <c r="A749"/>
      <c r="B749"/>
      <c r="C749"/>
      <c r="D749"/>
      <c r="E749"/>
      <c r="F749"/>
      <c r="G749"/>
      <c r="H749"/>
      <c r="I749"/>
      <c r="J749"/>
      <c r="K749"/>
      <c r="L749"/>
    </row>
    <row r="750" spans="1:12">
      <c r="A750"/>
      <c r="B750"/>
      <c r="C750"/>
      <c r="D750"/>
      <c r="E750"/>
      <c r="F750"/>
      <c r="G750"/>
      <c r="H750"/>
      <c r="I750"/>
      <c r="J750"/>
      <c r="K750"/>
      <c r="L750"/>
    </row>
    <row r="751" spans="1:12">
      <c r="A751"/>
      <c r="B751"/>
      <c r="C751"/>
      <c r="D751"/>
      <c r="E751"/>
      <c r="F751"/>
      <c r="G751"/>
      <c r="H751"/>
      <c r="I751"/>
      <c r="J751"/>
      <c r="K751"/>
      <c r="L751"/>
    </row>
    <row r="752" spans="1:12">
      <c r="A752"/>
      <c r="B752"/>
      <c r="C752"/>
      <c r="D752"/>
      <c r="E752"/>
      <c r="F752"/>
      <c r="G752"/>
      <c r="H752"/>
      <c r="I752"/>
      <c r="J752"/>
      <c r="K752"/>
      <c r="L752"/>
    </row>
    <row r="753" spans="1:12">
      <c r="A753"/>
      <c r="B753"/>
      <c r="C753"/>
      <c r="D753"/>
      <c r="E753"/>
      <c r="F753"/>
      <c r="G753"/>
      <c r="H753"/>
      <c r="I753"/>
      <c r="J753"/>
      <c r="K753"/>
      <c r="L753"/>
    </row>
    <row r="754" spans="1:12">
      <c r="A754"/>
      <c r="B754"/>
      <c r="C754"/>
      <c r="D754"/>
      <c r="E754"/>
      <c r="F754"/>
      <c r="G754"/>
      <c r="H754"/>
      <c r="I754"/>
      <c r="J754"/>
      <c r="K754"/>
      <c r="L754"/>
    </row>
    <row r="755" spans="1:12">
      <c r="A755"/>
      <c r="B755"/>
      <c r="C755"/>
      <c r="D755"/>
      <c r="E755"/>
      <c r="F755"/>
      <c r="G755"/>
      <c r="H755"/>
      <c r="I755"/>
      <c r="J755"/>
      <c r="K755"/>
      <c r="L755"/>
    </row>
    <row r="756" spans="1:12">
      <c r="A756"/>
      <c r="B756"/>
      <c r="C756"/>
      <c r="D756"/>
      <c r="E756"/>
      <c r="F756"/>
      <c r="G756"/>
      <c r="H756"/>
      <c r="I756"/>
      <c r="J756"/>
      <c r="K756"/>
      <c r="L756"/>
    </row>
    <row r="757" spans="1:12">
      <c r="A757"/>
      <c r="B757"/>
      <c r="C757"/>
      <c r="D757"/>
      <c r="E757"/>
      <c r="F757"/>
      <c r="G757"/>
      <c r="H757"/>
      <c r="I757"/>
      <c r="J757"/>
      <c r="K757"/>
      <c r="L757"/>
    </row>
    <row r="758" spans="1:12">
      <c r="A758"/>
      <c r="B758"/>
      <c r="C758"/>
      <c r="D758"/>
      <c r="E758"/>
      <c r="F758"/>
      <c r="G758"/>
      <c r="H758"/>
      <c r="I758"/>
      <c r="J758"/>
      <c r="K758"/>
      <c r="L758"/>
    </row>
    <row r="759" spans="1:12">
      <c r="A759"/>
      <c r="B759"/>
      <c r="C759"/>
      <c r="D759"/>
      <c r="E759"/>
      <c r="F759"/>
      <c r="G759"/>
      <c r="H759"/>
      <c r="I759"/>
      <c r="J759"/>
      <c r="K759"/>
      <c r="L759"/>
    </row>
    <row r="760" spans="1:12">
      <c r="A760"/>
      <c r="B760"/>
      <c r="C760"/>
      <c r="D760"/>
      <c r="E760"/>
      <c r="F760"/>
      <c r="G760"/>
      <c r="H760"/>
      <c r="I760"/>
      <c r="J760"/>
      <c r="K760"/>
      <c r="L760"/>
    </row>
    <row r="761" spans="1:12">
      <c r="A761"/>
      <c r="B761"/>
      <c r="C761"/>
      <c r="D761"/>
      <c r="E761"/>
      <c r="F761"/>
      <c r="G761"/>
      <c r="H761"/>
      <c r="I761"/>
      <c r="J761"/>
      <c r="K761"/>
      <c r="L761"/>
    </row>
    <row r="762" spans="1:12">
      <c r="A762"/>
      <c r="B762"/>
      <c r="C762"/>
      <c r="D762"/>
      <c r="E762"/>
      <c r="F762"/>
      <c r="G762"/>
      <c r="H762"/>
      <c r="I762"/>
      <c r="J762"/>
      <c r="K762"/>
      <c r="L762"/>
    </row>
    <row r="763" spans="1:12">
      <c r="A763"/>
      <c r="B763"/>
      <c r="C763"/>
      <c r="D763"/>
      <c r="E763"/>
      <c r="F763"/>
      <c r="G763"/>
      <c r="H763"/>
      <c r="I763"/>
      <c r="J763"/>
      <c r="K763"/>
      <c r="L763"/>
    </row>
    <row r="764" spans="1:12">
      <c r="A764"/>
      <c r="B764"/>
      <c r="C764"/>
      <c r="D764"/>
      <c r="E764"/>
      <c r="F764"/>
      <c r="G764"/>
      <c r="H764"/>
      <c r="I764"/>
      <c r="J764"/>
      <c r="K764"/>
      <c r="L764"/>
    </row>
    <row r="765" spans="1:12">
      <c r="A765"/>
      <c r="B765"/>
      <c r="C765"/>
      <c r="D765"/>
      <c r="E765"/>
      <c r="F765"/>
      <c r="G765"/>
      <c r="H765"/>
      <c r="I765"/>
      <c r="J765"/>
      <c r="K765"/>
      <c r="L765"/>
    </row>
    <row r="766" spans="1:12">
      <c r="A766"/>
      <c r="B766"/>
      <c r="C766"/>
      <c r="D766"/>
      <c r="E766"/>
      <c r="F766"/>
      <c r="G766"/>
      <c r="H766"/>
      <c r="I766"/>
      <c r="J766"/>
      <c r="K766"/>
      <c r="L766"/>
    </row>
    <row r="767" spans="1:12">
      <c r="A767"/>
      <c r="B767"/>
      <c r="C767"/>
      <c r="D767"/>
      <c r="E767"/>
      <c r="F767"/>
      <c r="G767"/>
      <c r="H767"/>
      <c r="I767"/>
      <c r="J767"/>
      <c r="K767"/>
      <c r="L767"/>
    </row>
    <row r="768" spans="1:12">
      <c r="A768"/>
      <c r="B768"/>
      <c r="C768"/>
      <c r="D768"/>
      <c r="E768"/>
      <c r="F768"/>
      <c r="G768"/>
      <c r="H768"/>
      <c r="I768"/>
      <c r="J768"/>
      <c r="K768"/>
      <c r="L768"/>
    </row>
    <row r="769" spans="1:12">
      <c r="A769"/>
      <c r="B769"/>
      <c r="C769"/>
      <c r="D769"/>
      <c r="E769"/>
      <c r="F769"/>
      <c r="G769"/>
      <c r="H769"/>
      <c r="I769"/>
      <c r="J769"/>
      <c r="K769"/>
      <c r="L769"/>
    </row>
    <row r="770" spans="1:12">
      <c r="A770"/>
      <c r="B770"/>
      <c r="C770"/>
      <c r="D770"/>
      <c r="E770"/>
      <c r="F770"/>
      <c r="G770"/>
      <c r="H770"/>
      <c r="I770"/>
      <c r="J770"/>
      <c r="K770"/>
      <c r="L770"/>
    </row>
    <row r="771" spans="1:12">
      <c r="A771"/>
      <c r="B771"/>
      <c r="C771"/>
      <c r="D771"/>
      <c r="E771"/>
      <c r="F771"/>
      <c r="G771"/>
      <c r="H771"/>
      <c r="I771"/>
      <c r="J771"/>
      <c r="K771"/>
      <c r="L771"/>
    </row>
    <row r="772" spans="1:12">
      <c r="A772"/>
      <c r="B772"/>
      <c r="C772"/>
      <c r="D772"/>
      <c r="E772"/>
      <c r="F772"/>
      <c r="G772"/>
      <c r="H772"/>
      <c r="I772"/>
      <c r="J772"/>
      <c r="K772"/>
      <c r="L772"/>
    </row>
    <row r="773" spans="1:12">
      <c r="A773"/>
      <c r="B773"/>
      <c r="C773"/>
      <c r="D773"/>
      <c r="E773"/>
      <c r="F773"/>
      <c r="G773"/>
      <c r="H773"/>
      <c r="I773"/>
      <c r="J773"/>
      <c r="K773"/>
      <c r="L773"/>
    </row>
    <row r="774" spans="1:12">
      <c r="A774"/>
      <c r="B774"/>
      <c r="C774"/>
      <c r="D774"/>
      <c r="E774"/>
      <c r="F774"/>
      <c r="G774"/>
      <c r="H774"/>
      <c r="I774"/>
      <c r="J774"/>
      <c r="K774"/>
      <c r="L774"/>
    </row>
    <row r="775" spans="1:12">
      <c r="A775"/>
      <c r="B775"/>
      <c r="C775"/>
      <c r="D775"/>
      <c r="E775"/>
      <c r="F775"/>
      <c r="G775"/>
      <c r="H775"/>
      <c r="I775"/>
      <c r="J775"/>
      <c r="K775"/>
      <c r="L775"/>
    </row>
    <row r="776" spans="1:12">
      <c r="A776"/>
      <c r="B776"/>
      <c r="C776"/>
      <c r="D776"/>
      <c r="E776"/>
      <c r="F776"/>
      <c r="G776"/>
      <c r="H776"/>
      <c r="I776"/>
      <c r="J776"/>
      <c r="K776"/>
      <c r="L776"/>
    </row>
    <row r="777" spans="1:12">
      <c r="A777"/>
      <c r="B777"/>
      <c r="C777"/>
      <c r="D777"/>
      <c r="E777"/>
      <c r="F777"/>
      <c r="G777"/>
      <c r="H777"/>
      <c r="I777"/>
      <c r="J777"/>
      <c r="K777"/>
      <c r="L777"/>
    </row>
    <row r="778" spans="1:12">
      <c r="A778"/>
      <c r="B778"/>
      <c r="C778"/>
      <c r="D778"/>
      <c r="E778"/>
      <c r="F778"/>
      <c r="G778"/>
      <c r="H778"/>
      <c r="I778"/>
      <c r="J778"/>
      <c r="K778"/>
      <c r="L778"/>
    </row>
    <row r="779" spans="1:12">
      <c r="A779"/>
      <c r="B779"/>
      <c r="C779"/>
      <c r="D779"/>
      <c r="E779"/>
      <c r="F779"/>
      <c r="G779"/>
      <c r="H779"/>
      <c r="I779"/>
      <c r="J779"/>
      <c r="K779"/>
      <c r="L779"/>
    </row>
    <row r="780" spans="1:12">
      <c r="A780"/>
      <c r="B780"/>
      <c r="C780"/>
      <c r="D780"/>
      <c r="E780"/>
      <c r="F780"/>
      <c r="G780"/>
      <c r="H780"/>
      <c r="I780"/>
      <c r="J780"/>
      <c r="K780"/>
      <c r="L780"/>
    </row>
    <row r="781" spans="1:12">
      <c r="A781"/>
      <c r="B781"/>
      <c r="C781"/>
      <c r="D781"/>
      <c r="E781"/>
      <c r="F781"/>
      <c r="G781"/>
      <c r="H781"/>
      <c r="I781"/>
      <c r="J781"/>
      <c r="K781"/>
      <c r="L781"/>
    </row>
    <row r="782" spans="1:12">
      <c r="A782"/>
      <c r="B782"/>
      <c r="C782"/>
      <c r="D782"/>
      <c r="E782"/>
      <c r="F782"/>
      <c r="G782"/>
      <c r="H782"/>
      <c r="I782"/>
      <c r="J782"/>
      <c r="K782"/>
      <c r="L782"/>
    </row>
    <row r="783" spans="1:12">
      <c r="A783"/>
      <c r="B783"/>
      <c r="C783"/>
      <c r="D783"/>
      <c r="E783"/>
      <c r="F783"/>
      <c r="G783"/>
      <c r="H783"/>
      <c r="I783"/>
      <c r="J783"/>
      <c r="K783"/>
      <c r="L783"/>
    </row>
    <row r="784" spans="1:12">
      <c r="A784"/>
      <c r="B784"/>
      <c r="C784"/>
      <c r="D784"/>
      <c r="E784"/>
      <c r="F784"/>
      <c r="G784"/>
      <c r="H784"/>
      <c r="I784"/>
      <c r="J784"/>
      <c r="K784"/>
      <c r="L784"/>
    </row>
    <row r="785" spans="1:12">
      <c r="A785"/>
      <c r="B785"/>
      <c r="C785"/>
      <c r="D785"/>
      <c r="E785"/>
      <c r="F785"/>
      <c r="G785"/>
      <c r="H785"/>
      <c r="I785"/>
      <c r="J785"/>
      <c r="K785"/>
      <c r="L785"/>
    </row>
    <row r="786" spans="1:12">
      <c r="A786"/>
      <c r="B786"/>
      <c r="C786"/>
      <c r="D786"/>
      <c r="E786"/>
      <c r="F786"/>
      <c r="G786"/>
      <c r="H786"/>
      <c r="I786"/>
      <c r="J786"/>
      <c r="K786"/>
      <c r="L786"/>
    </row>
    <row r="787" spans="1:12">
      <c r="A787"/>
      <c r="B787"/>
      <c r="C787"/>
      <c r="D787"/>
      <c r="E787"/>
      <c r="F787"/>
      <c r="G787"/>
      <c r="H787"/>
      <c r="I787"/>
      <c r="J787"/>
      <c r="K787"/>
      <c r="L787"/>
    </row>
    <row r="788" spans="1:12">
      <c r="A788"/>
      <c r="B788"/>
      <c r="C788"/>
      <c r="D788"/>
      <c r="E788"/>
      <c r="F788"/>
      <c r="G788"/>
      <c r="H788"/>
      <c r="I788"/>
      <c r="J788"/>
      <c r="K788"/>
      <c r="L788"/>
    </row>
    <row r="789" spans="1:12">
      <c r="A789"/>
      <c r="B789"/>
      <c r="C789"/>
      <c r="D789"/>
      <c r="E789"/>
      <c r="F789"/>
      <c r="G789"/>
      <c r="H789"/>
      <c r="I789"/>
      <c r="J789"/>
      <c r="K789"/>
      <c r="L789"/>
    </row>
    <row r="790" spans="1:12">
      <c r="A790"/>
      <c r="B790"/>
      <c r="C790"/>
      <c r="D790"/>
      <c r="E790"/>
      <c r="F790"/>
      <c r="G790"/>
      <c r="H790"/>
      <c r="I790"/>
      <c r="J790"/>
      <c r="K790"/>
      <c r="L790"/>
    </row>
    <row r="791" spans="1:12">
      <c r="A791"/>
      <c r="B791"/>
      <c r="C791"/>
      <c r="D791"/>
      <c r="E791"/>
      <c r="F791"/>
      <c r="G791"/>
      <c r="H791"/>
      <c r="I791"/>
      <c r="J791"/>
      <c r="K791"/>
      <c r="L791"/>
    </row>
    <row r="792" spans="1:12">
      <c r="A792"/>
      <c r="B792"/>
      <c r="C792"/>
      <c r="D792"/>
      <c r="E792"/>
      <c r="F792"/>
      <c r="G792"/>
      <c r="H792"/>
      <c r="I792"/>
      <c r="J792"/>
      <c r="K792"/>
      <c r="L792"/>
    </row>
    <row r="793" spans="1:12">
      <c r="A793"/>
      <c r="B793"/>
      <c r="C793"/>
      <c r="D793"/>
      <c r="E793"/>
      <c r="F793"/>
      <c r="G793"/>
      <c r="H793"/>
      <c r="I793"/>
      <c r="J793"/>
      <c r="K793"/>
      <c r="L793"/>
    </row>
    <row r="794" spans="1:12">
      <c r="A794"/>
      <c r="B794"/>
      <c r="C794"/>
      <c r="D794"/>
      <c r="E794"/>
      <c r="F794"/>
      <c r="G794"/>
      <c r="H794"/>
      <c r="I794"/>
      <c r="J794"/>
      <c r="K794"/>
      <c r="L794"/>
    </row>
    <row r="795" spans="1:12">
      <c r="A795"/>
      <c r="B795"/>
      <c r="C795"/>
      <c r="D795"/>
      <c r="E795"/>
      <c r="F795"/>
      <c r="G795"/>
      <c r="H795"/>
      <c r="I795"/>
      <c r="J795"/>
      <c r="K795"/>
      <c r="L795"/>
    </row>
    <row r="796" spans="1:12">
      <c r="A796"/>
      <c r="B796"/>
      <c r="C796"/>
      <c r="D796"/>
      <c r="E796"/>
      <c r="F796"/>
      <c r="G796"/>
      <c r="H796"/>
      <c r="I796"/>
      <c r="J796"/>
      <c r="K796"/>
      <c r="L796"/>
    </row>
    <row r="797" spans="1:12">
      <c r="A797"/>
      <c r="B797"/>
      <c r="C797"/>
      <c r="D797"/>
      <c r="E797"/>
      <c r="F797"/>
      <c r="G797"/>
      <c r="H797"/>
      <c r="I797"/>
      <c r="J797"/>
      <c r="K797"/>
      <c r="L797"/>
    </row>
    <row r="798" spans="1:12">
      <c r="A798"/>
      <c r="B798"/>
      <c r="C798"/>
      <c r="D798"/>
      <c r="E798"/>
      <c r="F798"/>
      <c r="G798"/>
      <c r="H798"/>
      <c r="I798"/>
      <c r="J798"/>
      <c r="K798"/>
      <c r="L798"/>
    </row>
    <row r="799" spans="1:12">
      <c r="A799"/>
      <c r="B799"/>
      <c r="C799"/>
      <c r="D799"/>
      <c r="E799"/>
      <c r="F799"/>
      <c r="G799"/>
      <c r="H799"/>
      <c r="I799"/>
      <c r="J799"/>
      <c r="K799"/>
      <c r="L799"/>
    </row>
    <row r="800" spans="1:12">
      <c r="A800"/>
      <c r="B800"/>
      <c r="C800"/>
      <c r="D800"/>
      <c r="E800"/>
      <c r="F800"/>
      <c r="G800"/>
      <c r="H800"/>
      <c r="I800"/>
      <c r="J800"/>
      <c r="K800"/>
      <c r="L800"/>
    </row>
    <row r="801" spans="1:12">
      <c r="A801"/>
      <c r="B801"/>
      <c r="C801"/>
      <c r="D801"/>
      <c r="E801"/>
      <c r="F801"/>
      <c r="G801"/>
      <c r="H801"/>
      <c r="I801"/>
      <c r="J801"/>
      <c r="K801"/>
      <c r="L801"/>
    </row>
    <row r="802" spans="1:12">
      <c r="A802"/>
      <c r="B802"/>
      <c r="C802"/>
      <c r="D802"/>
      <c r="E802"/>
      <c r="F802"/>
      <c r="G802"/>
      <c r="H802"/>
      <c r="I802"/>
      <c r="J802"/>
      <c r="K802"/>
      <c r="L802"/>
    </row>
    <row r="803" spans="1:12">
      <c r="A803"/>
      <c r="B803"/>
      <c r="C803"/>
      <c r="D803"/>
      <c r="E803"/>
      <c r="F803"/>
      <c r="G803"/>
      <c r="H803"/>
      <c r="I803"/>
      <c r="J803"/>
      <c r="K803"/>
      <c r="L803"/>
    </row>
    <row r="804" spans="1:12">
      <c r="A804"/>
      <c r="B804"/>
      <c r="C804"/>
      <c r="D804"/>
      <c r="E804"/>
      <c r="F804"/>
      <c r="G804"/>
      <c r="H804"/>
      <c r="I804"/>
      <c r="J804"/>
      <c r="K804"/>
      <c r="L804"/>
    </row>
    <row r="805" spans="1:12">
      <c r="A805"/>
      <c r="B805"/>
      <c r="C805"/>
      <c r="D805"/>
      <c r="E805"/>
      <c r="F805"/>
      <c r="G805"/>
      <c r="H805"/>
      <c r="I805"/>
      <c r="J805"/>
      <c r="K805"/>
      <c r="L805"/>
    </row>
    <row r="806" spans="1:12">
      <c r="A806"/>
      <c r="B806"/>
      <c r="C806"/>
      <c r="D806"/>
      <c r="E806"/>
      <c r="F806"/>
      <c r="G806"/>
      <c r="H806"/>
      <c r="I806"/>
      <c r="J806"/>
      <c r="K806"/>
      <c r="L806"/>
    </row>
    <row r="807" spans="1:12">
      <c r="A807"/>
      <c r="B807"/>
      <c r="C807"/>
      <c r="D807"/>
      <c r="E807"/>
      <c r="F807"/>
      <c r="G807"/>
      <c r="H807"/>
      <c r="I807"/>
      <c r="J807"/>
      <c r="K807"/>
      <c r="L807"/>
    </row>
    <row r="808" spans="1:12">
      <c r="A808"/>
      <c r="B808"/>
      <c r="C808"/>
      <c r="D808"/>
      <c r="E808"/>
      <c r="F808"/>
      <c r="G808"/>
      <c r="H808"/>
      <c r="I808"/>
      <c r="J808"/>
      <c r="K808"/>
      <c r="L808"/>
    </row>
    <row r="809" spans="1:12">
      <c r="A809"/>
      <c r="B809"/>
      <c r="C809"/>
      <c r="D809"/>
      <c r="E809"/>
      <c r="F809"/>
      <c r="G809"/>
      <c r="H809"/>
      <c r="I809"/>
      <c r="J809"/>
      <c r="K809"/>
      <c r="L809"/>
    </row>
    <row r="810" spans="1:12">
      <c r="A810"/>
      <c r="B810"/>
      <c r="C810"/>
      <c r="D810"/>
      <c r="E810"/>
      <c r="F810"/>
      <c r="G810"/>
      <c r="H810"/>
      <c r="I810"/>
      <c r="J810"/>
      <c r="K810"/>
      <c r="L810"/>
    </row>
    <row r="811" spans="1:12">
      <c r="A811"/>
      <c r="B811"/>
      <c r="C811"/>
      <c r="D811"/>
      <c r="E811"/>
      <c r="F811"/>
      <c r="G811"/>
      <c r="H811"/>
      <c r="I811"/>
      <c r="J811"/>
      <c r="K811"/>
      <c r="L811"/>
    </row>
    <row r="812" spans="1:12">
      <c r="A812"/>
      <c r="B812"/>
      <c r="C812"/>
      <c r="D812"/>
      <c r="E812"/>
      <c r="F812"/>
      <c r="G812"/>
      <c r="H812"/>
      <c r="I812"/>
      <c r="J812"/>
      <c r="K812"/>
      <c r="L812"/>
    </row>
    <row r="813" spans="1:12">
      <c r="A813"/>
      <c r="B813"/>
      <c r="C813"/>
      <c r="D813"/>
      <c r="E813"/>
      <c r="F813"/>
      <c r="G813"/>
      <c r="H813"/>
      <c r="I813"/>
      <c r="J813"/>
      <c r="K813"/>
      <c r="L813"/>
    </row>
    <row r="814" spans="1:12">
      <c r="A814"/>
      <c r="B814"/>
      <c r="C814"/>
      <c r="D814"/>
      <c r="E814"/>
      <c r="F814"/>
      <c r="G814"/>
      <c r="H814"/>
      <c r="I814"/>
      <c r="J814"/>
      <c r="K814"/>
      <c r="L814"/>
    </row>
    <row r="815" spans="1:12">
      <c r="A815"/>
      <c r="B815"/>
      <c r="C815"/>
      <c r="D815"/>
      <c r="E815"/>
      <c r="F815"/>
      <c r="G815"/>
      <c r="H815"/>
      <c r="I815"/>
      <c r="J815"/>
      <c r="K815"/>
      <c r="L815"/>
    </row>
    <row r="816" spans="1:12">
      <c r="A816"/>
      <c r="B816"/>
      <c r="C816"/>
      <c r="D816"/>
      <c r="E816"/>
      <c r="F816"/>
      <c r="G816"/>
      <c r="H816"/>
      <c r="I816"/>
      <c r="J816"/>
      <c r="K816"/>
      <c r="L816"/>
    </row>
    <row r="817" spans="1:12">
      <c r="A817"/>
      <c r="B817"/>
      <c r="C817"/>
      <c r="D817"/>
      <c r="E817"/>
      <c r="F817"/>
      <c r="G817"/>
      <c r="H817"/>
      <c r="I817"/>
      <c r="J817"/>
      <c r="K817"/>
      <c r="L817"/>
    </row>
    <row r="818" spans="1:12">
      <c r="A818"/>
      <c r="B818"/>
      <c r="C818"/>
      <c r="D818"/>
      <c r="E818"/>
      <c r="F818"/>
      <c r="G818"/>
      <c r="H818"/>
      <c r="I818"/>
      <c r="J818"/>
      <c r="K818"/>
      <c r="L818"/>
    </row>
    <row r="819" spans="1:12">
      <c r="A819"/>
      <c r="B819"/>
      <c r="C819"/>
      <c r="D819"/>
      <c r="E819"/>
      <c r="F819"/>
      <c r="G819"/>
      <c r="H819"/>
      <c r="I819"/>
      <c r="J819"/>
      <c r="K819"/>
      <c r="L819"/>
    </row>
    <row r="820" spans="1:12">
      <c r="A820"/>
      <c r="B820"/>
      <c r="C820"/>
      <c r="D820"/>
      <c r="E820"/>
      <c r="F820"/>
      <c r="G820"/>
      <c r="H820"/>
      <c r="I820"/>
      <c r="J820"/>
      <c r="K820"/>
      <c r="L820"/>
    </row>
    <row r="821" spans="1:12">
      <c r="A821"/>
      <c r="B821"/>
      <c r="C821"/>
      <c r="D821"/>
      <c r="E821"/>
      <c r="F821"/>
      <c r="G821"/>
      <c r="H821"/>
      <c r="I821"/>
      <c r="J821"/>
      <c r="K821"/>
      <c r="L821"/>
    </row>
    <row r="822" spans="1:12">
      <c r="A822"/>
      <c r="B822"/>
      <c r="C822"/>
      <c r="D822"/>
      <c r="E822"/>
      <c r="F822"/>
      <c r="G822"/>
      <c r="H822"/>
      <c r="I822"/>
      <c r="J822"/>
      <c r="K822"/>
      <c r="L822"/>
    </row>
    <row r="823" spans="1:12">
      <c r="A823"/>
      <c r="B823"/>
      <c r="C823"/>
      <c r="D823"/>
      <c r="E823"/>
      <c r="F823"/>
      <c r="G823"/>
      <c r="H823"/>
      <c r="I823"/>
      <c r="J823"/>
      <c r="K823"/>
      <c r="L823"/>
    </row>
    <row r="824" spans="1:12">
      <c r="A824"/>
      <c r="B824"/>
      <c r="C824"/>
      <c r="D824"/>
      <c r="E824"/>
      <c r="F824"/>
      <c r="G824"/>
      <c r="H824"/>
      <c r="I824"/>
      <c r="J824"/>
      <c r="K824"/>
      <c r="L824"/>
    </row>
    <row r="825" spans="1:12">
      <c r="A825"/>
      <c r="B825"/>
      <c r="C825"/>
      <c r="D825"/>
      <c r="E825"/>
      <c r="F825"/>
      <c r="G825"/>
      <c r="H825"/>
      <c r="I825"/>
      <c r="J825"/>
      <c r="K825"/>
      <c r="L825"/>
    </row>
    <row r="826" spans="1:12">
      <c r="A826"/>
      <c r="B826"/>
      <c r="C826"/>
      <c r="D826"/>
      <c r="E826"/>
      <c r="F826"/>
      <c r="G826"/>
      <c r="H826"/>
      <c r="I826"/>
      <c r="J826"/>
      <c r="K826"/>
      <c r="L826"/>
    </row>
    <row r="827" spans="1:12">
      <c r="A827"/>
      <c r="B827"/>
      <c r="C827"/>
      <c r="D827"/>
      <c r="E827"/>
      <c r="F827"/>
      <c r="G827"/>
      <c r="H827"/>
      <c r="I827"/>
      <c r="J827"/>
      <c r="K827"/>
      <c r="L827"/>
    </row>
    <row r="828" spans="1:12">
      <c r="A828"/>
      <c r="B828"/>
      <c r="C828"/>
      <c r="D828"/>
      <c r="E828"/>
      <c r="F828"/>
      <c r="G828"/>
      <c r="H828"/>
      <c r="I828"/>
      <c r="J828"/>
      <c r="K828"/>
      <c r="L828"/>
    </row>
    <row r="829" spans="1:12">
      <c r="A829"/>
      <c r="B829"/>
      <c r="C829"/>
      <c r="D829"/>
      <c r="E829"/>
      <c r="F829"/>
      <c r="G829"/>
      <c r="H829"/>
      <c r="I829"/>
      <c r="J829"/>
      <c r="K829"/>
      <c r="L829"/>
    </row>
    <row r="830" spans="1:12">
      <c r="A830"/>
      <c r="B830"/>
      <c r="C830"/>
      <c r="D830"/>
      <c r="E830"/>
      <c r="F830"/>
      <c r="G830"/>
      <c r="H830"/>
      <c r="I830"/>
      <c r="J830"/>
      <c r="K830"/>
      <c r="L830"/>
    </row>
    <row r="831" spans="1:12">
      <c r="A831"/>
      <c r="B831"/>
      <c r="C831"/>
      <c r="D831"/>
      <c r="E831"/>
      <c r="F831"/>
      <c r="G831"/>
      <c r="H831"/>
      <c r="I831"/>
      <c r="J831"/>
      <c r="K831"/>
      <c r="L831"/>
    </row>
    <row r="832" spans="1:12">
      <c r="A832"/>
      <c r="B832"/>
      <c r="C832"/>
      <c r="D832"/>
      <c r="E832"/>
      <c r="F832"/>
      <c r="G832"/>
      <c r="H832"/>
      <c r="I832"/>
      <c r="J832"/>
      <c r="K832"/>
      <c r="L832"/>
    </row>
    <row r="833" spans="1:12">
      <c r="A833"/>
      <c r="B833"/>
      <c r="C833"/>
      <c r="D833"/>
      <c r="E833"/>
      <c r="F833"/>
      <c r="G833"/>
      <c r="H833"/>
      <c r="I833"/>
      <c r="J833"/>
      <c r="K833"/>
      <c r="L833"/>
    </row>
    <row r="834" spans="1:12">
      <c r="A834"/>
      <c r="B834"/>
      <c r="C834"/>
      <c r="D834"/>
      <c r="E834"/>
      <c r="F834"/>
      <c r="G834"/>
      <c r="H834"/>
      <c r="I834"/>
      <c r="J834"/>
      <c r="K834"/>
      <c r="L834"/>
    </row>
    <row r="835" spans="1:12">
      <c r="A835"/>
      <c r="B835"/>
      <c r="C835"/>
      <c r="D835"/>
      <c r="E835"/>
      <c r="F835"/>
      <c r="G835"/>
      <c r="H835"/>
      <c r="I835"/>
      <c r="J835"/>
      <c r="K835"/>
      <c r="L835"/>
    </row>
    <row r="836" spans="1:12">
      <c r="A836"/>
      <c r="B836"/>
      <c r="C836"/>
      <c r="D836"/>
      <c r="E836"/>
      <c r="F836"/>
      <c r="G836"/>
      <c r="H836"/>
      <c r="I836"/>
      <c r="J836"/>
      <c r="K836"/>
      <c r="L836"/>
    </row>
    <row r="837" spans="1:12">
      <c r="A837"/>
      <c r="B837"/>
      <c r="C837"/>
      <c r="D837"/>
      <c r="E837"/>
      <c r="F837"/>
      <c r="G837"/>
      <c r="H837"/>
      <c r="I837"/>
      <c r="J837"/>
      <c r="K837"/>
      <c r="L837"/>
    </row>
    <row r="838" spans="1:12">
      <c r="A838"/>
      <c r="B838"/>
      <c r="C838"/>
      <c r="D838"/>
      <c r="E838"/>
      <c r="F838"/>
      <c r="G838"/>
      <c r="H838"/>
      <c r="I838"/>
      <c r="J838"/>
      <c r="K838"/>
      <c r="L838"/>
    </row>
    <row r="839" spans="1:12">
      <c r="A839"/>
      <c r="B839"/>
      <c r="C839"/>
      <c r="D839"/>
      <c r="E839"/>
      <c r="F839"/>
      <c r="G839"/>
      <c r="H839"/>
      <c r="I839"/>
      <c r="J839"/>
      <c r="K839"/>
      <c r="L839"/>
    </row>
    <row r="840" spans="1:12">
      <c r="A840"/>
      <c r="B840"/>
      <c r="C840"/>
      <c r="D840"/>
      <c r="E840"/>
      <c r="F840"/>
      <c r="G840"/>
      <c r="H840"/>
      <c r="I840"/>
      <c r="J840"/>
      <c r="K840"/>
      <c r="L840"/>
    </row>
    <row r="841" spans="1:12">
      <c r="A841"/>
      <c r="B841"/>
      <c r="C841"/>
      <c r="D841"/>
      <c r="E841"/>
      <c r="F841"/>
      <c r="G841"/>
      <c r="H841"/>
      <c r="I841"/>
      <c r="J841"/>
      <c r="K841"/>
      <c r="L841"/>
    </row>
    <row r="842" spans="1:12">
      <c r="A842"/>
      <c r="B842"/>
      <c r="C842"/>
      <c r="D842"/>
      <c r="E842"/>
      <c r="F842"/>
      <c r="G842"/>
      <c r="H842"/>
      <c r="I842"/>
      <c r="J842"/>
      <c r="K842"/>
      <c r="L842"/>
    </row>
    <row r="843" spans="1:12">
      <c r="A843"/>
      <c r="B843"/>
      <c r="C843"/>
      <c r="D843"/>
      <c r="E843"/>
      <c r="F843"/>
      <c r="G843"/>
      <c r="H843"/>
      <c r="I843"/>
      <c r="J843"/>
      <c r="K843"/>
      <c r="L843"/>
    </row>
    <row r="844" spans="1:12">
      <c r="A844"/>
      <c r="B844"/>
      <c r="C844"/>
      <c r="D844"/>
      <c r="E844"/>
      <c r="F844"/>
      <c r="G844"/>
      <c r="H844"/>
      <c r="I844"/>
      <c r="J844"/>
      <c r="K844"/>
      <c r="L844"/>
    </row>
    <row r="845" spans="1:12">
      <c r="A845"/>
      <c r="B845"/>
      <c r="C845"/>
      <c r="D845"/>
      <c r="E845"/>
      <c r="F845"/>
      <c r="G845"/>
      <c r="H845"/>
      <c r="I845"/>
      <c r="J845"/>
      <c r="K845"/>
      <c r="L845"/>
    </row>
    <row r="846" spans="1:12">
      <c r="A846"/>
      <c r="B846"/>
      <c r="C846"/>
      <c r="D846"/>
      <c r="E846"/>
      <c r="F846"/>
      <c r="G846"/>
      <c r="H846"/>
      <c r="I846"/>
      <c r="J846"/>
      <c r="K846"/>
      <c r="L846"/>
    </row>
    <row r="847" spans="1:12">
      <c r="A847"/>
      <c r="B847"/>
      <c r="C847"/>
      <c r="D847"/>
      <c r="E847"/>
      <c r="F847"/>
      <c r="G847"/>
      <c r="H847"/>
      <c r="I847"/>
      <c r="J847"/>
      <c r="K847"/>
      <c r="L847"/>
    </row>
    <row r="848" spans="1:12">
      <c r="A848"/>
      <c r="B848"/>
      <c r="C848"/>
      <c r="D848"/>
      <c r="E848"/>
      <c r="F848"/>
      <c r="G848"/>
      <c r="H848"/>
      <c r="I848"/>
      <c r="J848"/>
      <c r="K848"/>
      <c r="L848"/>
    </row>
    <row r="849" spans="1:12">
      <c r="A849"/>
      <c r="B849"/>
      <c r="C849"/>
      <c r="D849"/>
      <c r="E849"/>
      <c r="F849"/>
      <c r="G849"/>
      <c r="H849"/>
      <c r="I849"/>
      <c r="J849"/>
      <c r="K849"/>
      <c r="L849"/>
    </row>
    <row r="850" spans="1:12">
      <c r="A850"/>
      <c r="B850"/>
      <c r="C850"/>
      <c r="D850"/>
      <c r="E850"/>
      <c r="F850"/>
      <c r="G850"/>
      <c r="H850"/>
      <c r="I850"/>
      <c r="J850"/>
      <c r="K850"/>
      <c r="L850"/>
    </row>
    <row r="851" spans="1:12">
      <c r="A851"/>
      <c r="B851"/>
      <c r="C851"/>
      <c r="D851"/>
      <c r="E851"/>
      <c r="F851"/>
      <c r="G851"/>
      <c r="H851"/>
      <c r="I851"/>
      <c r="J851"/>
      <c r="K851"/>
      <c r="L851"/>
    </row>
    <row r="852" spans="1:12">
      <c r="A852"/>
      <c r="B852"/>
      <c r="C852"/>
      <c r="D852"/>
      <c r="E852"/>
      <c r="F852"/>
      <c r="G852"/>
      <c r="H852"/>
      <c r="I852"/>
      <c r="J852"/>
      <c r="K852"/>
      <c r="L852"/>
    </row>
    <row r="853" spans="1:12">
      <c r="A853"/>
      <c r="B853"/>
      <c r="C853"/>
      <c r="D853"/>
      <c r="E853"/>
      <c r="F853"/>
      <c r="G853"/>
      <c r="H853"/>
      <c r="I853"/>
      <c r="J853"/>
      <c r="K853"/>
      <c r="L853"/>
    </row>
    <row r="854" spans="1:12">
      <c r="A854"/>
      <c r="B854"/>
      <c r="C854"/>
      <c r="D854"/>
      <c r="E854"/>
      <c r="F854"/>
      <c r="G854"/>
      <c r="H854"/>
      <c r="I854"/>
      <c r="J854"/>
      <c r="K854"/>
      <c r="L854"/>
    </row>
    <row r="855" spans="1:12">
      <c r="A855"/>
      <c r="B855"/>
      <c r="C855"/>
      <c r="D855"/>
      <c r="E855"/>
      <c r="F855"/>
      <c r="G855"/>
      <c r="H855"/>
      <c r="I855"/>
      <c r="J855"/>
      <c r="K855"/>
      <c r="L855"/>
    </row>
    <row r="856" spans="1:12">
      <c r="A856"/>
      <c r="B856"/>
      <c r="C856"/>
      <c r="D856"/>
      <c r="E856"/>
      <c r="F856"/>
      <c r="G856"/>
      <c r="H856"/>
      <c r="I856"/>
      <c r="J856"/>
      <c r="K856"/>
      <c r="L856"/>
    </row>
    <row r="857" spans="1:12">
      <c r="A857"/>
      <c r="B857"/>
      <c r="C857"/>
      <c r="D857"/>
      <c r="E857"/>
      <c r="F857"/>
      <c r="G857"/>
      <c r="H857"/>
      <c r="I857"/>
      <c r="J857"/>
      <c r="K857"/>
      <c r="L857"/>
    </row>
    <row r="858" spans="1:12">
      <c r="A858"/>
      <c r="B858"/>
      <c r="C858"/>
      <c r="D858"/>
      <c r="E858"/>
      <c r="F858"/>
      <c r="G858"/>
      <c r="H858"/>
      <c r="I858"/>
      <c r="J858"/>
      <c r="K858"/>
      <c r="L858"/>
    </row>
    <row r="859" spans="1:12">
      <c r="A859"/>
      <c r="B859"/>
      <c r="C859"/>
      <c r="D859"/>
      <c r="E859"/>
      <c r="F859"/>
      <c r="G859"/>
      <c r="H859"/>
      <c r="I859"/>
      <c r="J859"/>
      <c r="K859"/>
      <c r="L859"/>
    </row>
    <row r="860" spans="1:12">
      <c r="A860"/>
      <c r="B860"/>
      <c r="C860"/>
      <c r="D860"/>
      <c r="E860"/>
      <c r="F860"/>
      <c r="G860"/>
      <c r="H860"/>
      <c r="I860"/>
      <c r="J860"/>
      <c r="K860"/>
      <c r="L860"/>
    </row>
    <row r="861" spans="1:12">
      <c r="A861"/>
      <c r="B861"/>
      <c r="C861"/>
      <c r="D861"/>
      <c r="E861"/>
      <c r="F861"/>
      <c r="G861"/>
      <c r="H861"/>
      <c r="I861"/>
      <c r="J861"/>
      <c r="K861"/>
      <c r="L861"/>
    </row>
    <row r="862" spans="1:12">
      <c r="A862"/>
      <c r="B862"/>
      <c r="C862"/>
      <c r="D862"/>
      <c r="E862"/>
      <c r="F862"/>
      <c r="G862"/>
      <c r="H862"/>
      <c r="I862"/>
      <c r="J862"/>
      <c r="K862"/>
      <c r="L862"/>
    </row>
    <row r="863" spans="1:12">
      <c r="A863"/>
      <c r="B863"/>
      <c r="C863"/>
      <c r="D863"/>
      <c r="E863"/>
      <c r="F863"/>
      <c r="G863"/>
      <c r="H863"/>
      <c r="I863"/>
      <c r="J863"/>
      <c r="K863"/>
      <c r="L863"/>
    </row>
    <row r="864" spans="1:12">
      <c r="A864"/>
      <c r="B864"/>
      <c r="C864"/>
      <c r="D864"/>
      <c r="E864"/>
      <c r="F864"/>
      <c r="G864"/>
      <c r="H864"/>
      <c r="I864"/>
      <c r="J864"/>
      <c r="K864"/>
      <c r="L864"/>
    </row>
    <row r="865" spans="1:12">
      <c r="A865"/>
      <c r="B865"/>
      <c r="C865"/>
      <c r="D865"/>
      <c r="E865"/>
      <c r="F865"/>
      <c r="G865"/>
      <c r="H865"/>
      <c r="I865"/>
      <c r="J865"/>
      <c r="K865"/>
      <c r="L865"/>
    </row>
    <row r="866" spans="1:12">
      <c r="A866"/>
      <c r="B866"/>
      <c r="C866"/>
      <c r="D866"/>
      <c r="E866"/>
      <c r="F866"/>
      <c r="G866"/>
      <c r="H866"/>
      <c r="I866"/>
      <c r="J866"/>
      <c r="K866"/>
      <c r="L866"/>
    </row>
    <row r="867" spans="1:12">
      <c r="A867"/>
      <c r="B867"/>
      <c r="C867"/>
      <c r="D867"/>
      <c r="E867"/>
      <c r="F867"/>
      <c r="G867"/>
      <c r="H867"/>
      <c r="I867"/>
      <c r="J867"/>
      <c r="K867"/>
      <c r="L867"/>
    </row>
    <row r="868" spans="1:12">
      <c r="A868"/>
      <c r="B868"/>
      <c r="C868"/>
      <c r="D868"/>
      <c r="E868"/>
      <c r="F868"/>
      <c r="G868"/>
      <c r="H868"/>
      <c r="I868"/>
      <c r="J868"/>
      <c r="K868"/>
      <c r="L868"/>
    </row>
    <row r="869" spans="1:12">
      <c r="A869"/>
      <c r="B869"/>
      <c r="C869"/>
      <c r="D869"/>
      <c r="E869"/>
      <c r="F869"/>
      <c r="G869"/>
      <c r="H869"/>
      <c r="I869"/>
      <c r="J869"/>
      <c r="K869"/>
      <c r="L869"/>
    </row>
    <row r="870" spans="1:12">
      <c r="A870"/>
      <c r="B870"/>
      <c r="C870"/>
      <c r="D870"/>
      <c r="E870"/>
      <c r="F870"/>
      <c r="G870"/>
      <c r="H870"/>
      <c r="I870"/>
      <c r="J870"/>
      <c r="K870"/>
      <c r="L870"/>
    </row>
    <row r="871" spans="1:12">
      <c r="A871"/>
      <c r="B871"/>
      <c r="C871"/>
      <c r="D871"/>
      <c r="E871"/>
      <c r="F871"/>
      <c r="G871"/>
      <c r="H871"/>
      <c r="I871"/>
      <c r="J871"/>
      <c r="K871"/>
      <c r="L871"/>
    </row>
    <row r="872" spans="1:12">
      <c r="A872"/>
      <c r="B872"/>
      <c r="C872"/>
      <c r="D872"/>
      <c r="E872"/>
      <c r="F872"/>
      <c r="G872"/>
      <c r="H872"/>
      <c r="I872"/>
      <c r="J872"/>
      <c r="K872"/>
      <c r="L872"/>
    </row>
    <row r="873" spans="1:12">
      <c r="A873"/>
      <c r="B873"/>
      <c r="C873"/>
      <c r="D873"/>
      <c r="E873"/>
      <c r="F873"/>
      <c r="G873"/>
      <c r="H873"/>
      <c r="I873"/>
      <c r="J873"/>
      <c r="K873"/>
      <c r="L873"/>
    </row>
    <row r="874" spans="1:12">
      <c r="A874"/>
      <c r="B874"/>
      <c r="C874"/>
      <c r="D874"/>
      <c r="E874"/>
      <c r="F874"/>
      <c r="G874"/>
      <c r="H874"/>
      <c r="I874"/>
      <c r="J874"/>
      <c r="K874"/>
      <c r="L874"/>
    </row>
    <row r="875" spans="1:12">
      <c r="A875"/>
      <c r="B875"/>
      <c r="C875"/>
      <c r="D875"/>
      <c r="E875"/>
      <c r="F875"/>
      <c r="G875"/>
      <c r="H875"/>
      <c r="I875"/>
      <c r="J875"/>
      <c r="K875"/>
      <c r="L875"/>
    </row>
    <row r="876" spans="1:12">
      <c r="A876"/>
      <c r="B876"/>
      <c r="C876"/>
      <c r="D876"/>
      <c r="E876"/>
      <c r="F876"/>
      <c r="G876"/>
      <c r="H876"/>
      <c r="I876"/>
      <c r="J876"/>
      <c r="K876"/>
      <c r="L876"/>
    </row>
    <row r="877" spans="1:12">
      <c r="A877"/>
      <c r="B877"/>
      <c r="C877"/>
      <c r="D877"/>
      <c r="E877"/>
      <c r="F877"/>
      <c r="G877"/>
      <c r="H877"/>
      <c r="I877"/>
      <c r="J877"/>
      <c r="K877"/>
      <c r="L877"/>
    </row>
    <row r="878" spans="1:12">
      <c r="A878"/>
      <c r="B878"/>
      <c r="C878"/>
      <c r="D878"/>
      <c r="E878"/>
      <c r="F878"/>
      <c r="G878"/>
      <c r="H878"/>
      <c r="I878"/>
      <c r="J878"/>
      <c r="K878"/>
      <c r="L878"/>
    </row>
    <row r="879" spans="1:12">
      <c r="A879"/>
      <c r="B879"/>
      <c r="C879"/>
      <c r="D879"/>
      <c r="E879"/>
      <c r="F879"/>
      <c r="G879"/>
      <c r="H879"/>
      <c r="I879"/>
      <c r="J879"/>
      <c r="K879"/>
      <c r="L879"/>
    </row>
    <row r="880" spans="1:12">
      <c r="A880"/>
      <c r="B880"/>
      <c r="C880"/>
      <c r="D880"/>
      <c r="E880"/>
      <c r="F880"/>
      <c r="G880"/>
      <c r="H880"/>
      <c r="I880"/>
      <c r="J880"/>
      <c r="K880"/>
      <c r="L880"/>
    </row>
    <row r="881" spans="1:12">
      <c r="A881"/>
      <c r="B881"/>
      <c r="C881"/>
      <c r="D881"/>
      <c r="E881"/>
      <c r="F881"/>
      <c r="G881"/>
      <c r="H881"/>
      <c r="I881"/>
      <c r="J881"/>
      <c r="K881"/>
      <c r="L881"/>
    </row>
  </sheetData>
  <mergeCells count="4">
    <mergeCell ref="A3:L3"/>
    <mergeCell ref="B16:L16"/>
    <mergeCell ref="B21:L21"/>
    <mergeCell ref="B45:J47"/>
  </mergeCells>
  <pageMargins left="0.7" right="0.7" top="0.75" bottom="0.75" header="0.3" footer="0.3"/>
  <pageSetup orientation="portrait" horizontalDpi="0"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0EDB3-F190-44DC-BBEB-81774576260D}">
  <dimension ref="A1:BW198"/>
  <sheetViews>
    <sheetView zoomScaleNormal="100" workbookViewId="0">
      <selection activeCell="B38" sqref="B38"/>
    </sheetView>
  </sheetViews>
  <sheetFormatPr defaultColWidth="9.109375" defaultRowHeight="15.75" customHeight="1"/>
  <cols>
    <col min="1" max="1" width="10.33203125" style="1" customWidth="1"/>
    <col min="2" max="7" width="12.6640625" style="1" customWidth="1"/>
    <col min="8" max="8" width="11.21875" style="1" customWidth="1"/>
    <col min="9" max="12" width="10.33203125" style="1" customWidth="1"/>
    <col min="13" max="13" width="9.109375" style="37" customWidth="1"/>
    <col min="14" max="23" width="9.109375" style="37"/>
    <col min="76" max="16384" width="9.109375" style="1"/>
  </cols>
  <sheetData>
    <row r="1" spans="1:14" ht="15.6" customHeight="1">
      <c r="A1" s="23" t="s">
        <v>1472</v>
      </c>
      <c r="B1" s="22"/>
      <c r="C1" s="5" t="s">
        <v>38</v>
      </c>
      <c r="D1" s="19"/>
      <c r="E1" s="22"/>
      <c r="F1" s="22"/>
      <c r="G1" s="22"/>
      <c r="H1" s="22"/>
      <c r="I1" s="22"/>
      <c r="J1" s="22"/>
      <c r="K1" s="22"/>
      <c r="L1" s="2"/>
      <c r="N1" s="37" t="s">
        <v>2177</v>
      </c>
    </row>
    <row r="2" spans="1:14" ht="15.6" customHeight="1">
      <c r="A2" s="23"/>
      <c r="B2" s="22"/>
      <c r="C2" s="19"/>
      <c r="D2" s="19"/>
      <c r="E2" s="22"/>
      <c r="F2" s="22"/>
      <c r="G2" s="22"/>
      <c r="H2" s="22"/>
      <c r="I2" s="22"/>
      <c r="J2" s="22"/>
      <c r="K2" s="22"/>
      <c r="L2" s="2"/>
    </row>
    <row r="3" spans="1:14" ht="15.6" customHeight="1">
      <c r="A3" s="1733" t="s">
        <v>2176</v>
      </c>
      <c r="B3" s="1928"/>
      <c r="C3" s="1928"/>
      <c r="D3" s="1928"/>
      <c r="E3" s="1928"/>
      <c r="F3" s="1928"/>
      <c r="G3" s="1928"/>
      <c r="H3" s="1928"/>
      <c r="I3" s="1928"/>
      <c r="J3" s="1928"/>
      <c r="K3" s="1928"/>
      <c r="L3" s="1928"/>
    </row>
    <row r="4" spans="1:14" ht="15.6" customHeight="1">
      <c r="A4" s="1733" t="s">
        <v>2175</v>
      </c>
      <c r="B4" s="1928"/>
      <c r="C4" s="1928"/>
      <c r="D4" s="1928"/>
      <c r="E4" s="1928"/>
      <c r="F4" s="1928"/>
      <c r="G4" s="1928"/>
      <c r="H4" s="1928"/>
      <c r="I4" s="1928"/>
      <c r="J4" s="1928"/>
      <c r="K4" s="1928"/>
      <c r="L4" s="1928"/>
    </row>
    <row r="5" spans="1:14" ht="15.6" customHeight="1">
      <c r="A5" s="3"/>
      <c r="B5" s="3"/>
      <c r="C5" s="3"/>
      <c r="D5" s="3"/>
      <c r="E5" s="3"/>
      <c r="F5" s="3"/>
      <c r="G5" s="3"/>
      <c r="H5" s="3"/>
      <c r="I5" s="3"/>
      <c r="J5" s="162"/>
      <c r="K5" s="3"/>
      <c r="L5" s="3"/>
    </row>
    <row r="6" spans="1:14" ht="30.9" customHeight="1">
      <c r="A6" s="3"/>
      <c r="B6" s="83" t="s">
        <v>2167</v>
      </c>
      <c r="C6" s="134" t="s">
        <v>566</v>
      </c>
      <c r="D6" s="749"/>
      <c r="E6" s="3"/>
      <c r="F6" s="3"/>
      <c r="G6" s="3"/>
      <c r="H6" s="3"/>
      <c r="I6" s="3"/>
      <c r="J6" s="162"/>
      <c r="K6" s="3"/>
      <c r="L6" s="3"/>
    </row>
    <row r="7" spans="1:14" ht="15.6" customHeight="1">
      <c r="A7" s="3"/>
      <c r="B7" s="133" t="s">
        <v>988</v>
      </c>
      <c r="C7" s="697">
        <v>0.55000000000000004</v>
      </c>
      <c r="D7" s="749"/>
      <c r="E7" s="3"/>
      <c r="F7" s="3"/>
      <c r="G7" s="3"/>
      <c r="H7" s="3"/>
      <c r="I7" s="3"/>
      <c r="J7" s="162"/>
      <c r="K7" s="3"/>
      <c r="L7" s="3"/>
    </row>
    <row r="8" spans="1:14" ht="15.6" customHeight="1">
      <c r="A8" s="3"/>
      <c r="B8" s="133" t="s">
        <v>987</v>
      </c>
      <c r="C8" s="697">
        <v>0.65</v>
      </c>
      <c r="D8" s="1299"/>
      <c r="E8" s="3"/>
      <c r="F8" s="3"/>
      <c r="G8" s="3"/>
      <c r="H8" s="3"/>
      <c r="I8" s="3"/>
      <c r="J8" s="162"/>
      <c r="K8" s="3"/>
      <c r="L8" s="3"/>
    </row>
    <row r="9" spans="1:14" ht="15.6" customHeight="1">
      <c r="A9" s="3"/>
      <c r="B9" s="1300"/>
      <c r="C9" s="1299"/>
      <c r="D9" s="1299"/>
      <c r="E9" s="3"/>
      <c r="F9" s="3"/>
      <c r="G9" s="3"/>
      <c r="H9" s="3"/>
      <c r="I9" s="3"/>
      <c r="J9" s="3"/>
      <c r="K9" s="3"/>
      <c r="L9" s="3"/>
    </row>
    <row r="10" spans="1:14" ht="30.9" customHeight="1">
      <c r="A10" s="3"/>
      <c r="B10" s="83" t="s">
        <v>2167</v>
      </c>
      <c r="C10" s="83" t="s">
        <v>2166</v>
      </c>
      <c r="D10" s="83" t="s">
        <v>2165</v>
      </c>
      <c r="E10" s="3"/>
      <c r="F10" s="3"/>
      <c r="G10" s="3"/>
      <c r="H10" s="3"/>
      <c r="I10" s="3"/>
      <c r="J10" s="3"/>
      <c r="K10" s="3"/>
      <c r="L10" s="3"/>
    </row>
    <row r="11" spans="1:14" ht="15.6" customHeight="1">
      <c r="A11" s="3"/>
      <c r="B11" s="133" t="s">
        <v>988</v>
      </c>
      <c r="C11" s="133" t="s">
        <v>1229</v>
      </c>
      <c r="D11" s="683">
        <v>200000</v>
      </c>
      <c r="E11" s="3"/>
      <c r="F11" s="3"/>
      <c r="G11" s="3"/>
      <c r="H11" s="3"/>
      <c r="I11" s="3"/>
      <c r="J11" s="3"/>
      <c r="K11" s="3"/>
      <c r="L11" s="3"/>
    </row>
    <row r="12" spans="1:14" ht="15.6" customHeight="1">
      <c r="A12" s="3"/>
      <c r="B12" s="133" t="s">
        <v>988</v>
      </c>
      <c r="C12" s="133" t="s">
        <v>1781</v>
      </c>
      <c r="D12" s="683">
        <v>180000</v>
      </c>
      <c r="E12" s="3"/>
      <c r="F12" s="3"/>
      <c r="G12" s="3"/>
      <c r="H12" s="3"/>
      <c r="I12" s="3"/>
      <c r="J12" s="3"/>
      <c r="K12" s="3"/>
      <c r="L12" s="3"/>
    </row>
    <row r="13" spans="1:14" ht="15.6" customHeight="1">
      <c r="A13" s="3"/>
      <c r="B13" s="133" t="s">
        <v>987</v>
      </c>
      <c r="C13" s="133" t="s">
        <v>1229</v>
      </c>
      <c r="D13" s="683">
        <v>170000</v>
      </c>
      <c r="E13" s="3"/>
      <c r="F13" s="3"/>
      <c r="G13" s="3"/>
      <c r="H13" s="3"/>
      <c r="I13" s="3"/>
      <c r="J13" s="3"/>
      <c r="K13" s="3"/>
      <c r="L13" s="3"/>
    </row>
    <row r="14" spans="1:14" ht="15.6" customHeight="1">
      <c r="A14" s="3"/>
      <c r="B14" s="133" t="s">
        <v>987</v>
      </c>
      <c r="C14" s="133" t="s">
        <v>1781</v>
      </c>
      <c r="D14" s="683">
        <v>230000</v>
      </c>
      <c r="E14" s="3"/>
      <c r="F14" s="3"/>
      <c r="G14" s="3"/>
      <c r="H14" s="3"/>
      <c r="I14" s="3"/>
      <c r="J14" s="3"/>
      <c r="K14" s="3"/>
      <c r="L14" s="3"/>
    </row>
    <row r="15" spans="1:14" ht="15.6" customHeight="1">
      <c r="A15" s="3"/>
      <c r="B15" s="1300"/>
      <c r="C15" s="1299"/>
      <c r="D15" s="1299"/>
      <c r="E15" s="3"/>
      <c r="F15" s="3"/>
      <c r="G15" s="3"/>
      <c r="H15" s="3"/>
      <c r="I15" s="3"/>
      <c r="J15" s="3"/>
      <c r="K15" s="3"/>
      <c r="L15" s="3"/>
    </row>
    <row r="16" spans="1:14" ht="21.9" customHeight="1">
      <c r="A16" s="21" t="s">
        <v>2174</v>
      </c>
      <c r="B16" s="1300"/>
      <c r="C16" s="1299"/>
      <c r="D16" s="1299"/>
      <c r="E16" s="3"/>
      <c r="F16" s="3"/>
      <c r="G16" s="3"/>
      <c r="H16" s="3"/>
      <c r="I16" s="3"/>
      <c r="J16" s="3"/>
      <c r="K16" s="3"/>
      <c r="L16" s="3"/>
    </row>
    <row r="17" spans="1:75" ht="15.6" customHeight="1">
      <c r="A17" s="21"/>
      <c r="B17" s="1300"/>
      <c r="C17" s="1299"/>
      <c r="D17" s="1299"/>
      <c r="E17" s="3"/>
      <c r="F17" s="3"/>
      <c r="G17" s="3"/>
      <c r="H17" s="3"/>
      <c r="I17" s="3"/>
      <c r="J17" s="3"/>
      <c r="K17" s="3"/>
      <c r="L17" s="3"/>
    </row>
    <row r="18" spans="1:75" ht="15.6" customHeight="1">
      <c r="A18" s="21"/>
      <c r="B18" s="1671" t="s">
        <v>2173</v>
      </c>
      <c r="C18" s="1671"/>
      <c r="D18" s="1671"/>
      <c r="E18" s="3"/>
      <c r="F18" s="3"/>
      <c r="G18" s="3"/>
      <c r="H18" s="3"/>
      <c r="I18" s="3"/>
      <c r="J18" s="3"/>
      <c r="K18" s="3"/>
      <c r="L18" s="3"/>
    </row>
    <row r="19" spans="1:75" ht="30.9" customHeight="1">
      <c r="A19" s="21"/>
      <c r="B19" s="83" t="s">
        <v>931</v>
      </c>
      <c r="C19" s="83" t="s">
        <v>2172</v>
      </c>
      <c r="D19" s="83" t="s">
        <v>2171</v>
      </c>
      <c r="E19" s="3"/>
      <c r="F19" s="3"/>
      <c r="G19" s="3"/>
      <c r="H19" s="3"/>
      <c r="I19" s="3"/>
      <c r="J19" s="3"/>
      <c r="K19" s="3"/>
      <c r="L19" s="3"/>
    </row>
    <row r="20" spans="1:75" ht="15.6" customHeight="1">
      <c r="A20" s="21"/>
      <c r="B20" s="256" t="s">
        <v>373</v>
      </c>
      <c r="C20" s="683">
        <v>8000</v>
      </c>
      <c r="D20" s="683">
        <v>1200</v>
      </c>
      <c r="E20" s="3"/>
      <c r="F20" s="3"/>
      <c r="G20" s="3"/>
      <c r="H20" s="3"/>
      <c r="I20" s="3"/>
      <c r="J20" s="3"/>
      <c r="K20" s="3"/>
      <c r="L20" s="3"/>
    </row>
    <row r="21" spans="1:75" ht="15.6" customHeight="1">
      <c r="A21" s="3"/>
      <c r="B21" s="256" t="s">
        <v>2170</v>
      </c>
      <c r="C21" s="1298">
        <v>1</v>
      </c>
      <c r="D21" s="133">
        <v>0.75</v>
      </c>
      <c r="E21" s="3"/>
      <c r="F21" s="3"/>
      <c r="G21" s="3"/>
      <c r="H21" s="3"/>
      <c r="I21" s="3"/>
      <c r="J21" s="3"/>
      <c r="K21" s="3"/>
      <c r="L21" s="3"/>
    </row>
    <row r="22" spans="1:75" ht="15.75" customHeight="1">
      <c r="A22" s="3"/>
      <c r="B22" s="162"/>
      <c r="C22" s="1260"/>
      <c r="D22" s="1225"/>
      <c r="E22" s="3"/>
      <c r="F22" s="3"/>
      <c r="G22" s="3"/>
      <c r="H22" s="3"/>
      <c r="I22" s="3"/>
      <c r="J22" s="3"/>
      <c r="K22" s="3"/>
      <c r="L22" s="2"/>
    </row>
    <row r="23" spans="1:75" ht="15.75" customHeight="1">
      <c r="A23" s="3" t="s">
        <v>80</v>
      </c>
      <c r="B23" s="3" t="s">
        <v>2169</v>
      </c>
      <c r="C23" s="3"/>
      <c r="D23" s="3"/>
      <c r="E23" s="3"/>
      <c r="F23" s="3"/>
      <c r="G23" s="3"/>
      <c r="H23" s="3"/>
      <c r="I23" s="3"/>
      <c r="J23" s="3"/>
      <c r="K23" s="3"/>
      <c r="L23" s="2"/>
    </row>
    <row r="24" spans="1:75" ht="15.75" customHeight="1">
      <c r="A24" s="5"/>
      <c r="B24" s="5" t="s">
        <v>64</v>
      </c>
      <c r="C24" s="5"/>
      <c r="D24" s="4"/>
      <c r="E24" s="4"/>
      <c r="F24" s="4"/>
      <c r="G24" s="4"/>
      <c r="H24" s="3"/>
      <c r="I24" s="3"/>
      <c r="J24" s="2"/>
      <c r="K24" s="3"/>
      <c r="L24" s="2"/>
    </row>
    <row r="25" spans="1:75" ht="15.75" customHeight="1">
      <c r="A25" s="59"/>
      <c r="B25" s="59"/>
      <c r="C25" s="59"/>
      <c r="D25" s="188"/>
      <c r="E25" s="188"/>
      <c r="F25" s="188"/>
      <c r="G25" s="188"/>
      <c r="H25" s="187"/>
      <c r="I25" s="187"/>
      <c r="K25" s="187"/>
    </row>
    <row r="26" spans="1:75" ht="15.75" customHeight="1">
      <c r="A26" s="59"/>
      <c r="B26" s="538" t="s">
        <v>2168</v>
      </c>
      <c r="C26" s="1297"/>
      <c r="D26" s="1296"/>
      <c r="E26" s="1295"/>
      <c r="F26" s="188"/>
      <c r="G26" s="188"/>
      <c r="H26" s="187"/>
      <c r="I26" s="187"/>
      <c r="K26" s="187"/>
    </row>
    <row r="27" spans="1:75" ht="15.75" customHeight="1">
      <c r="A27" s="59"/>
      <c r="B27" s="246" t="s">
        <v>2064</v>
      </c>
      <c r="C27" s="962">
        <v>250000</v>
      </c>
      <c r="D27" s="246" t="s">
        <v>2065</v>
      </c>
      <c r="E27" s="962">
        <f>C27+500000</f>
        <v>750000</v>
      </c>
      <c r="F27" s="188"/>
      <c r="G27" s="188"/>
      <c r="H27" s="187"/>
      <c r="I27" s="187"/>
      <c r="K27" s="187"/>
    </row>
    <row r="28" spans="1:75" s="37" customFormat="1" ht="15.75" customHeight="1">
      <c r="I28" s="187"/>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c r="BM28" s="145"/>
      <c r="BN28" s="145"/>
      <c r="BO28" s="145"/>
      <c r="BP28" s="145"/>
      <c r="BQ28" s="145"/>
      <c r="BR28" s="145"/>
      <c r="BS28" s="145"/>
      <c r="BT28" s="145"/>
      <c r="BU28" s="145"/>
      <c r="BV28" s="145"/>
      <c r="BW28" s="145"/>
    </row>
    <row r="29" spans="1:75" s="37" customFormat="1" ht="31.2">
      <c r="B29" s="618" t="s">
        <v>2167</v>
      </c>
      <c r="C29" s="618" t="s">
        <v>2166</v>
      </c>
      <c r="D29" s="618" t="s">
        <v>2165</v>
      </c>
      <c r="E29" s="618" t="s">
        <v>10</v>
      </c>
      <c r="F29" s="618" t="s">
        <v>2164</v>
      </c>
      <c r="G29" s="618" t="s">
        <v>2163</v>
      </c>
      <c r="H29" s="618" t="s">
        <v>256</v>
      </c>
      <c r="I29" s="618" t="s">
        <v>2162</v>
      </c>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c r="BP29" s="145"/>
      <c r="BQ29" s="145"/>
      <c r="BR29" s="145"/>
      <c r="BS29" s="145"/>
      <c r="BT29" s="145"/>
      <c r="BU29" s="145"/>
      <c r="BV29" s="145"/>
      <c r="BW29" s="145"/>
    </row>
    <row r="30" spans="1:75" s="37" customFormat="1" ht="15.75" customHeight="1">
      <c r="B30" s="488" t="s">
        <v>988</v>
      </c>
      <c r="C30" s="488" t="s">
        <v>1229</v>
      </c>
      <c r="D30" s="962">
        <f>D11</f>
        <v>200000</v>
      </c>
      <c r="E30" s="1294">
        <f>C7</f>
        <v>0.55000000000000004</v>
      </c>
      <c r="F30" s="1293">
        <f>$C$20*$C$27^(-$C$21)</f>
        <v>3.2000000000000001E-2</v>
      </c>
      <c r="G30" s="1293">
        <f>$C$20*$E$27^(-$C$21)</f>
        <v>1.0666666666666668E-2</v>
      </c>
      <c r="H30" s="1293">
        <f>F30-G30</f>
        <v>2.1333333333333333E-2</v>
      </c>
      <c r="I30" s="962">
        <f>D30*H30*E30</f>
        <v>2346.666666666667</v>
      </c>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row>
    <row r="31" spans="1:75" s="37" customFormat="1" ht="15.75" customHeight="1">
      <c r="B31" s="488" t="s">
        <v>988</v>
      </c>
      <c r="C31" s="488" t="s">
        <v>1781</v>
      </c>
      <c r="D31" s="962">
        <f>D12</f>
        <v>180000</v>
      </c>
      <c r="E31" s="1294">
        <f>E30</f>
        <v>0.55000000000000004</v>
      </c>
      <c r="F31" s="1293">
        <f>$D$20*$C$27^(-$D$21)</f>
        <v>0.10733126291998986</v>
      </c>
      <c r="G31" s="1293">
        <f>$D$20*$E$27^(-$D$21)</f>
        <v>4.7085295302123367E-2</v>
      </c>
      <c r="H31" s="1293">
        <f>F31-G31</f>
        <v>6.0245967617866492E-2</v>
      </c>
      <c r="I31" s="962">
        <f>D31*H31*E31</f>
        <v>5964.3507941687831</v>
      </c>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row>
    <row r="32" spans="1:75" s="37" customFormat="1" ht="15.75" customHeight="1">
      <c r="B32" s="488" t="s">
        <v>987</v>
      </c>
      <c r="C32" s="488" t="s">
        <v>1229</v>
      </c>
      <c r="D32" s="962">
        <f>D13</f>
        <v>170000</v>
      </c>
      <c r="E32" s="1294">
        <f>C8</f>
        <v>0.65</v>
      </c>
      <c r="F32" s="1293">
        <f>F30</f>
        <v>3.2000000000000001E-2</v>
      </c>
      <c r="G32" s="1293">
        <f>G30</f>
        <v>1.0666666666666668E-2</v>
      </c>
      <c r="H32" s="1293">
        <f>F32-G32</f>
        <v>2.1333333333333333E-2</v>
      </c>
      <c r="I32" s="962">
        <f>D32*H32*E32</f>
        <v>2357.3333333333335</v>
      </c>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row>
    <row r="33" spans="1:75" s="37" customFormat="1" ht="15.75" customHeight="1">
      <c r="B33" s="488" t="s">
        <v>987</v>
      </c>
      <c r="C33" s="488" t="s">
        <v>1781</v>
      </c>
      <c r="D33" s="962">
        <f>D14</f>
        <v>230000</v>
      </c>
      <c r="E33" s="1294">
        <f>E32</f>
        <v>0.65</v>
      </c>
      <c r="F33" s="1293">
        <f>F31</f>
        <v>0.10733126291998986</v>
      </c>
      <c r="G33" s="1293">
        <f>G31</f>
        <v>4.7085295302123367E-2</v>
      </c>
      <c r="H33" s="1293">
        <f>F33-G33</f>
        <v>6.0245967617866492E-2</v>
      </c>
      <c r="I33" s="962">
        <f>D33*H33*E33</f>
        <v>9006.772158871041</v>
      </c>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row>
    <row r="34" spans="1:75" s="37" customFormat="1" ht="15.75" customHeight="1">
      <c r="B34" s="174" t="s">
        <v>72</v>
      </c>
      <c r="C34" s="174"/>
      <c r="D34" s="372">
        <f>SUM(D30:D33)</f>
        <v>780000</v>
      </c>
      <c r="E34" s="1292"/>
      <c r="F34" s="1292"/>
      <c r="G34" s="1292"/>
      <c r="H34" s="174"/>
      <c r="I34" s="372">
        <f>SUM(I30:I33)</f>
        <v>19675.122953039827</v>
      </c>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row>
    <row r="35" spans="1:75" s="37" customFormat="1" ht="15.75" customHeight="1">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5"/>
      <c r="BR35" s="145"/>
      <c r="BS35" s="145"/>
      <c r="BT35" s="145"/>
      <c r="BU35" s="145"/>
      <c r="BV35" s="145"/>
      <c r="BW35" s="145"/>
    </row>
    <row r="36" spans="1:75" s="37" customFormat="1" ht="15.75" customHeight="1">
      <c r="B36" s="170" t="s">
        <v>2161</v>
      </c>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c r="BV36" s="145"/>
      <c r="BW36" s="145"/>
    </row>
    <row r="37" spans="1:75" s="37" customFormat="1" ht="15.75" customHeight="1">
      <c r="B37" s="1291">
        <f>I34/D34</f>
        <v>2.5224516606461318E-2</v>
      </c>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row>
    <row r="38" spans="1:75" s="37" customFormat="1" ht="15.75" customHeight="1">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row>
    <row r="39" spans="1:75" ht="15.75" customHeight="1">
      <c r="A39" s="3" t="s">
        <v>2160</v>
      </c>
      <c r="B39" s="60"/>
      <c r="C39" s="60"/>
      <c r="D39" s="60"/>
      <c r="E39" s="60"/>
      <c r="F39" s="60"/>
      <c r="G39" s="60"/>
      <c r="H39" s="60"/>
      <c r="I39" s="60"/>
      <c r="J39" s="60"/>
      <c r="K39" s="60"/>
      <c r="L39" s="60"/>
    </row>
    <row r="40" spans="1:75" ht="15.75" customHeight="1">
      <c r="A40" s="60"/>
      <c r="B40" s="60"/>
      <c r="C40" s="60"/>
      <c r="D40" s="60"/>
      <c r="E40" s="60"/>
      <c r="F40" s="60"/>
      <c r="G40" s="60"/>
      <c r="H40" s="60"/>
      <c r="I40" s="60"/>
      <c r="J40" s="60"/>
      <c r="K40" s="60"/>
      <c r="L40" s="60"/>
    </row>
    <row r="41" spans="1:75" ht="15.75" customHeight="1">
      <c r="A41" s="3" t="s">
        <v>9</v>
      </c>
      <c r="B41" s="3" t="s">
        <v>2159</v>
      </c>
      <c r="C41" s="3"/>
      <c r="D41" s="3"/>
      <c r="E41" s="3"/>
      <c r="F41" s="3"/>
      <c r="G41" s="3"/>
      <c r="H41" s="3"/>
      <c r="I41" s="3"/>
      <c r="J41" s="3"/>
      <c r="K41" s="3"/>
      <c r="L41" s="2"/>
    </row>
    <row r="42" spans="1:75" ht="15.75" customHeight="1">
      <c r="A42" s="3"/>
      <c r="B42" s="47" t="s">
        <v>2158</v>
      </c>
      <c r="C42" s="3"/>
      <c r="D42" s="3"/>
      <c r="E42" s="3"/>
      <c r="F42" s="3"/>
      <c r="G42" s="3"/>
      <c r="H42" s="3"/>
      <c r="I42" s="3"/>
      <c r="J42" s="3"/>
      <c r="K42" s="3"/>
      <c r="L42" s="3"/>
    </row>
    <row r="43" spans="1:75" ht="15.75" customHeight="1">
      <c r="A43" s="3"/>
      <c r="B43" s="47" t="s">
        <v>2157</v>
      </c>
      <c r="C43" s="3"/>
      <c r="D43" s="3"/>
      <c r="E43" s="3"/>
      <c r="F43" s="3"/>
      <c r="G43" s="3"/>
      <c r="H43" s="3"/>
      <c r="I43" s="3"/>
      <c r="J43" s="3"/>
      <c r="K43" s="3"/>
      <c r="L43" s="3"/>
    </row>
    <row r="44" spans="1:75" ht="15.75" customHeight="1">
      <c r="A44" s="3"/>
      <c r="B44" s="47" t="s">
        <v>2156</v>
      </c>
      <c r="C44" s="3"/>
      <c r="D44" s="3"/>
      <c r="E44" s="3"/>
      <c r="F44" s="3"/>
      <c r="G44" s="3"/>
      <c r="H44" s="3"/>
      <c r="I44" s="3"/>
      <c r="J44" s="3"/>
      <c r="K44" s="3"/>
      <c r="L44" s="3"/>
    </row>
    <row r="45" spans="1:75" ht="15.75" customHeight="1">
      <c r="A45" s="5"/>
      <c r="B45" s="5" t="s">
        <v>64</v>
      </c>
      <c r="C45" s="5"/>
      <c r="D45" s="4"/>
      <c r="E45" s="4"/>
      <c r="F45" s="4"/>
      <c r="G45" s="4"/>
      <c r="H45" s="3"/>
      <c r="I45" s="3"/>
      <c r="J45" s="2"/>
      <c r="K45" s="3"/>
      <c r="L45" s="2"/>
    </row>
    <row r="46" spans="1:75" s="37" customFormat="1" ht="15.75" customHeight="1">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row>
    <row r="47" spans="1:75" s="145" customFormat="1" ht="15.75" customHeight="1">
      <c r="A47" s="37"/>
      <c r="B47" s="37" t="s">
        <v>2151</v>
      </c>
      <c r="C47" s="37"/>
      <c r="D47" s="37" t="s">
        <v>2155</v>
      </c>
      <c r="E47" s="37"/>
      <c r="F47" s="37"/>
      <c r="G47" s="37"/>
      <c r="H47" s="37"/>
      <c r="I47" s="37"/>
      <c r="J47" s="37"/>
      <c r="K47" s="37"/>
      <c r="L47" s="37"/>
      <c r="M47" s="37"/>
      <c r="N47" s="37"/>
      <c r="O47" s="37"/>
      <c r="P47" s="37"/>
      <c r="Q47" s="37"/>
      <c r="R47" s="37"/>
      <c r="S47" s="37"/>
      <c r="T47" s="37"/>
      <c r="U47" s="37"/>
      <c r="V47" s="37"/>
      <c r="W47" s="37"/>
    </row>
    <row r="48" spans="1:75" s="145" customFormat="1" ht="15.75" customHeight="1">
      <c r="A48" s="37"/>
      <c r="B48" s="37" t="s">
        <v>2149</v>
      </c>
      <c r="C48" s="37"/>
      <c r="D48" s="37" t="s">
        <v>2154</v>
      </c>
      <c r="E48" s="37"/>
      <c r="F48" s="37"/>
      <c r="G48" s="37"/>
      <c r="H48" s="37"/>
      <c r="I48" s="37"/>
      <c r="J48" s="37"/>
      <c r="K48" s="37"/>
      <c r="L48" s="37"/>
      <c r="M48" s="37"/>
      <c r="N48" s="37"/>
      <c r="O48" s="37"/>
      <c r="P48" s="37"/>
      <c r="Q48" s="37"/>
      <c r="R48" s="37"/>
      <c r="S48" s="37"/>
      <c r="T48" s="37"/>
      <c r="U48" s="37"/>
      <c r="V48" s="37"/>
      <c r="W48" s="37"/>
    </row>
    <row r="49" spans="1:23" s="145" customFormat="1" ht="15.75" customHeight="1">
      <c r="A49" s="37"/>
      <c r="B49" s="37" t="s">
        <v>2147</v>
      </c>
      <c r="C49" s="37"/>
      <c r="D49" s="37" t="s">
        <v>2153</v>
      </c>
      <c r="E49" s="37"/>
      <c r="F49" s="37"/>
      <c r="G49" s="37"/>
      <c r="H49" s="37"/>
      <c r="I49" s="37"/>
      <c r="J49" s="37"/>
      <c r="K49" s="37"/>
      <c r="L49" s="37"/>
      <c r="M49" s="37"/>
      <c r="N49" s="37"/>
      <c r="O49" s="37"/>
      <c r="P49" s="37"/>
      <c r="Q49" s="37"/>
      <c r="R49" s="37"/>
      <c r="S49" s="37"/>
      <c r="T49" s="37"/>
      <c r="U49" s="37"/>
      <c r="V49" s="37"/>
      <c r="W49" s="37"/>
    </row>
    <row r="50" spans="1:23" s="145" customFormat="1" ht="15.75" customHeight="1">
      <c r="A50" s="37"/>
      <c r="B50" s="37"/>
      <c r="C50" s="37"/>
      <c r="D50" s="638" t="s">
        <v>357</v>
      </c>
      <c r="E50" s="37"/>
      <c r="F50" s="37"/>
      <c r="G50" s="37"/>
      <c r="H50" s="37"/>
      <c r="I50" s="37"/>
      <c r="J50" s="37"/>
      <c r="K50" s="37"/>
      <c r="L50" s="37"/>
      <c r="M50" s="37"/>
      <c r="N50" s="37"/>
      <c r="O50" s="37"/>
      <c r="P50" s="37"/>
      <c r="Q50" s="37"/>
      <c r="R50" s="37"/>
      <c r="S50" s="37"/>
      <c r="T50" s="37"/>
      <c r="U50" s="37"/>
      <c r="V50" s="37"/>
      <c r="W50" s="37"/>
    </row>
    <row r="51" spans="1:23" customFormat="1" ht="15.75" customHeight="1">
      <c r="A51" s="3" t="s">
        <v>7</v>
      </c>
      <c r="B51" s="3" t="s">
        <v>2152</v>
      </c>
      <c r="C51" s="3"/>
      <c r="D51" s="3"/>
      <c r="E51" s="3"/>
      <c r="F51" s="3"/>
      <c r="G51" s="3"/>
      <c r="H51" s="3"/>
      <c r="I51" s="3"/>
      <c r="J51" s="3"/>
      <c r="K51" s="3"/>
      <c r="L51" s="2"/>
      <c r="M51" s="37"/>
      <c r="N51" s="37"/>
      <c r="O51" s="37"/>
      <c r="P51" s="37"/>
      <c r="Q51" s="37"/>
      <c r="R51" s="37"/>
      <c r="S51" s="37"/>
      <c r="T51" s="37"/>
      <c r="U51" s="37"/>
      <c r="V51" s="37"/>
      <c r="W51" s="37"/>
    </row>
    <row r="52" spans="1:23" customFormat="1" ht="15.75" customHeight="1">
      <c r="A52" s="5"/>
      <c r="B52" s="5" t="s">
        <v>64</v>
      </c>
      <c r="C52" s="5"/>
      <c r="D52" s="4"/>
      <c r="E52" s="4"/>
      <c r="F52" s="4"/>
      <c r="G52" s="4"/>
      <c r="H52" s="3"/>
      <c r="I52" s="3"/>
      <c r="J52" s="2"/>
      <c r="K52" s="3"/>
      <c r="L52" s="2"/>
      <c r="M52" s="37"/>
      <c r="N52" s="37"/>
      <c r="O52" s="37"/>
      <c r="P52" s="37"/>
      <c r="Q52" s="37"/>
      <c r="R52" s="37"/>
      <c r="S52" s="37"/>
      <c r="T52" s="37"/>
      <c r="U52" s="37"/>
      <c r="V52" s="37"/>
      <c r="W52" s="37"/>
    </row>
    <row r="53" spans="1:23" s="145" customFormat="1" ht="15.75" customHeight="1">
      <c r="A53" s="37"/>
      <c r="B53" s="37"/>
      <c r="C53" s="37"/>
      <c r="D53" s="37"/>
      <c r="E53" s="37"/>
      <c r="F53" s="37"/>
      <c r="G53" s="37"/>
      <c r="H53" s="37"/>
      <c r="I53" s="37"/>
      <c r="J53" s="37"/>
      <c r="K53" s="37"/>
      <c r="L53" s="37"/>
      <c r="M53" s="37"/>
      <c r="N53" s="37"/>
      <c r="O53" s="37"/>
      <c r="P53" s="37"/>
      <c r="Q53" s="37"/>
      <c r="R53" s="37"/>
      <c r="S53" s="37"/>
      <c r="T53" s="37"/>
      <c r="U53" s="37"/>
      <c r="V53" s="37"/>
      <c r="W53" s="37"/>
    </row>
    <row r="54" spans="1:23" s="145" customFormat="1" ht="15.75" customHeight="1">
      <c r="A54" s="37"/>
      <c r="B54" s="37" t="s">
        <v>2151</v>
      </c>
      <c r="C54" s="37"/>
      <c r="D54" s="37" t="s">
        <v>2150</v>
      </c>
      <c r="E54" s="37"/>
      <c r="F54" s="37"/>
      <c r="G54" s="37"/>
      <c r="H54" s="37"/>
      <c r="I54" s="37"/>
      <c r="J54" s="37"/>
      <c r="K54" s="37"/>
      <c r="L54" s="37"/>
      <c r="M54" s="37"/>
      <c r="N54" s="37"/>
      <c r="O54" s="37"/>
      <c r="P54" s="37"/>
      <c r="Q54" s="37"/>
      <c r="R54" s="37"/>
      <c r="S54" s="37"/>
      <c r="T54" s="37"/>
      <c r="U54" s="37"/>
      <c r="V54" s="37"/>
      <c r="W54" s="37"/>
    </row>
    <row r="55" spans="1:23" s="145" customFormat="1" ht="15.75" customHeight="1">
      <c r="A55" s="37"/>
      <c r="B55" s="37" t="s">
        <v>2149</v>
      </c>
      <c r="C55" s="37"/>
      <c r="D55" s="37" t="s">
        <v>2148</v>
      </c>
      <c r="E55" s="37"/>
      <c r="F55" s="37"/>
      <c r="G55" s="37"/>
      <c r="H55" s="37"/>
      <c r="I55" s="37"/>
      <c r="J55" s="37"/>
      <c r="K55" s="37"/>
      <c r="L55" s="37"/>
      <c r="M55" s="37"/>
      <c r="N55" s="37"/>
      <c r="O55" s="37"/>
      <c r="P55" s="37"/>
      <c r="Q55" s="37"/>
      <c r="R55" s="37"/>
      <c r="S55" s="37"/>
      <c r="T55" s="37"/>
      <c r="U55" s="37"/>
      <c r="V55" s="37"/>
      <c r="W55" s="37"/>
    </row>
    <row r="56" spans="1:23" s="145" customFormat="1" ht="15.75" customHeight="1">
      <c r="A56" s="37"/>
      <c r="B56" s="37" t="s">
        <v>2147</v>
      </c>
      <c r="C56" s="37"/>
      <c r="D56" s="37" t="s">
        <v>2146</v>
      </c>
      <c r="E56" s="37"/>
      <c r="F56" s="37"/>
      <c r="G56" s="37"/>
      <c r="H56" s="37"/>
      <c r="I56" s="37"/>
      <c r="J56" s="37"/>
      <c r="K56" s="37"/>
      <c r="L56" s="37"/>
      <c r="M56" s="37"/>
      <c r="N56" s="37"/>
      <c r="O56" s="37"/>
      <c r="P56" s="37"/>
      <c r="Q56" s="37"/>
      <c r="R56" s="37"/>
      <c r="S56" s="37"/>
      <c r="T56" s="37"/>
      <c r="U56" s="37"/>
      <c r="V56" s="37"/>
      <c r="W56" s="37"/>
    </row>
    <row r="57" spans="1:23" s="145" customFormat="1" ht="15.75" customHeight="1">
      <c r="A57" s="37"/>
      <c r="B57" s="37"/>
      <c r="C57" s="37"/>
      <c r="D57" s="37"/>
      <c r="E57" s="37"/>
      <c r="F57" s="37"/>
      <c r="G57" s="37"/>
      <c r="H57" s="37"/>
      <c r="I57" s="37"/>
      <c r="J57" s="37"/>
      <c r="K57" s="37"/>
      <c r="L57" s="37"/>
      <c r="M57" s="37"/>
      <c r="N57" s="37"/>
      <c r="O57" s="37"/>
      <c r="P57" s="37"/>
      <c r="Q57" s="37"/>
      <c r="R57" s="37"/>
      <c r="S57" s="37"/>
      <c r="T57" s="37"/>
      <c r="U57" s="37"/>
      <c r="V57" s="37"/>
      <c r="W57" s="37"/>
    </row>
    <row r="58" spans="1:23" s="145" customFormat="1" ht="15.75" customHeight="1">
      <c r="A58" s="37"/>
      <c r="B58" s="37"/>
      <c r="C58" s="37"/>
      <c r="D58" s="37"/>
      <c r="E58" s="37"/>
      <c r="F58" s="37"/>
      <c r="G58" s="37"/>
      <c r="H58" s="37"/>
      <c r="I58" s="37"/>
      <c r="J58" s="37"/>
      <c r="K58" s="37"/>
      <c r="L58" s="37"/>
      <c r="M58" s="37"/>
      <c r="N58" s="37"/>
      <c r="O58" s="37"/>
      <c r="P58" s="37"/>
      <c r="Q58" s="37"/>
      <c r="R58" s="37"/>
      <c r="S58" s="37"/>
      <c r="T58" s="37"/>
      <c r="U58" s="37"/>
      <c r="V58" s="37"/>
      <c r="W58" s="37"/>
    </row>
    <row r="59" spans="1:23" s="145" customFormat="1" ht="15.75" customHeight="1">
      <c r="A59" s="37"/>
      <c r="B59" s="37"/>
      <c r="C59" s="37"/>
      <c r="D59" s="37"/>
      <c r="E59" s="37"/>
      <c r="F59" s="37"/>
      <c r="G59" s="37"/>
      <c r="H59" s="37"/>
      <c r="I59" s="37"/>
      <c r="J59" s="37"/>
      <c r="K59" s="37"/>
      <c r="L59" s="37"/>
      <c r="M59" s="37"/>
      <c r="N59" s="37"/>
      <c r="O59" s="37"/>
      <c r="P59" s="37"/>
      <c r="Q59" s="37"/>
      <c r="R59" s="37"/>
      <c r="S59" s="37"/>
      <c r="T59" s="37"/>
      <c r="U59" s="37"/>
      <c r="V59" s="37"/>
      <c r="W59" s="37"/>
    </row>
    <row r="60" spans="1:23" s="145" customFormat="1" ht="15.75" customHeight="1">
      <c r="A60" s="37"/>
      <c r="B60" s="37"/>
      <c r="C60" s="37"/>
      <c r="D60" s="37"/>
      <c r="E60" s="37"/>
      <c r="F60" s="37"/>
      <c r="G60" s="37"/>
      <c r="H60" s="37"/>
      <c r="I60" s="37"/>
      <c r="J60" s="37"/>
      <c r="K60" s="37"/>
      <c r="L60" s="37"/>
      <c r="M60" s="37"/>
      <c r="N60" s="37"/>
      <c r="O60" s="37"/>
      <c r="P60" s="37"/>
      <c r="Q60" s="37"/>
      <c r="R60" s="37"/>
      <c r="S60" s="37"/>
      <c r="T60" s="37"/>
      <c r="U60" s="37"/>
      <c r="V60" s="37"/>
      <c r="W60" s="37"/>
    </row>
    <row r="61" spans="1:23" s="145" customFormat="1" ht="15.75" customHeight="1">
      <c r="A61" s="37"/>
      <c r="B61" s="37"/>
      <c r="C61" s="37"/>
      <c r="D61" s="37"/>
      <c r="E61" s="37"/>
      <c r="F61" s="37"/>
      <c r="G61" s="37"/>
      <c r="H61" s="37"/>
      <c r="I61" s="37"/>
      <c r="J61" s="37"/>
      <c r="K61" s="37"/>
      <c r="L61" s="37"/>
      <c r="M61" s="37"/>
      <c r="N61" s="37"/>
      <c r="O61" s="37"/>
      <c r="P61" s="37"/>
      <c r="Q61" s="37"/>
      <c r="R61" s="37"/>
      <c r="S61" s="37"/>
      <c r="T61" s="37"/>
      <c r="U61" s="37"/>
      <c r="V61" s="37"/>
      <c r="W61" s="37"/>
    </row>
    <row r="62" spans="1:23" s="145" customFormat="1" ht="15.75" customHeight="1">
      <c r="A62" s="37"/>
      <c r="B62" s="37"/>
      <c r="C62" s="37"/>
      <c r="D62" s="37"/>
      <c r="E62" s="37"/>
      <c r="F62" s="37"/>
      <c r="G62" s="37"/>
      <c r="H62" s="37"/>
      <c r="I62" s="37"/>
      <c r="J62" s="37"/>
      <c r="K62" s="37"/>
      <c r="L62" s="37"/>
      <c r="M62" s="37"/>
      <c r="N62" s="37"/>
      <c r="O62" s="37"/>
      <c r="P62" s="37"/>
      <c r="Q62" s="37"/>
      <c r="R62" s="37"/>
      <c r="S62" s="37"/>
      <c r="T62" s="37"/>
      <c r="U62" s="37"/>
      <c r="V62" s="37"/>
      <c r="W62" s="37"/>
    </row>
    <row r="63" spans="1:23" s="145" customFormat="1" ht="15.75" customHeight="1">
      <c r="A63" s="37"/>
      <c r="B63" s="37"/>
      <c r="C63" s="37"/>
      <c r="D63" s="37"/>
      <c r="E63" s="37"/>
      <c r="F63" s="37"/>
      <c r="G63" s="37"/>
      <c r="H63" s="37"/>
      <c r="I63" s="37"/>
      <c r="J63" s="37"/>
      <c r="K63" s="37"/>
      <c r="L63" s="37"/>
      <c r="M63" s="37"/>
      <c r="N63" s="37"/>
      <c r="O63" s="37"/>
      <c r="P63" s="37"/>
      <c r="Q63" s="37"/>
      <c r="R63" s="37"/>
      <c r="S63" s="37"/>
      <c r="T63" s="37"/>
      <c r="U63" s="37"/>
      <c r="V63" s="37"/>
      <c r="W63" s="37"/>
    </row>
    <row r="64" spans="1:23" s="145" customFormat="1" ht="15.75" customHeight="1">
      <c r="A64" s="37"/>
      <c r="B64" s="37"/>
      <c r="C64" s="37"/>
      <c r="D64" s="37"/>
      <c r="E64" s="37"/>
      <c r="F64" s="37"/>
      <c r="G64" s="37"/>
      <c r="H64" s="37"/>
      <c r="I64" s="37"/>
      <c r="J64" s="37"/>
      <c r="K64" s="37"/>
      <c r="L64" s="37"/>
      <c r="M64" s="37"/>
      <c r="N64" s="37"/>
      <c r="O64" s="37"/>
      <c r="P64" s="37"/>
      <c r="Q64" s="37"/>
      <c r="R64" s="37"/>
      <c r="S64" s="37"/>
      <c r="T64" s="37"/>
      <c r="U64" s="37"/>
      <c r="V64" s="37"/>
      <c r="W64" s="37"/>
    </row>
    <row r="65" spans="1:23" s="145" customFormat="1" ht="15.75" customHeight="1">
      <c r="A65" s="37"/>
      <c r="B65" s="37"/>
      <c r="C65" s="37"/>
      <c r="D65" s="37"/>
      <c r="E65" s="37"/>
      <c r="F65" s="37"/>
      <c r="G65" s="37"/>
      <c r="H65" s="37"/>
      <c r="I65" s="37"/>
      <c r="J65" s="37"/>
      <c r="K65" s="37"/>
      <c r="L65" s="37"/>
      <c r="M65" s="37"/>
      <c r="N65" s="37"/>
      <c r="O65" s="37"/>
      <c r="P65" s="37"/>
      <c r="Q65" s="37"/>
      <c r="R65" s="37"/>
      <c r="S65" s="37"/>
      <c r="T65" s="37"/>
      <c r="U65" s="37"/>
      <c r="V65" s="37"/>
      <c r="W65" s="37"/>
    </row>
    <row r="66" spans="1:23" s="145" customFormat="1" ht="15.75" customHeight="1">
      <c r="A66" s="37"/>
      <c r="B66" s="37"/>
      <c r="C66" s="37"/>
      <c r="D66" s="37"/>
      <c r="E66" s="37"/>
      <c r="F66" s="37"/>
      <c r="G66" s="37"/>
      <c r="H66" s="37"/>
      <c r="I66" s="37"/>
      <c r="J66" s="37"/>
      <c r="K66" s="37"/>
      <c r="L66" s="37"/>
      <c r="M66" s="37"/>
      <c r="N66" s="37"/>
      <c r="O66" s="37"/>
      <c r="P66" s="37"/>
      <c r="Q66" s="37"/>
      <c r="R66" s="37"/>
      <c r="S66" s="37"/>
      <c r="T66" s="37"/>
      <c r="U66" s="37"/>
      <c r="V66" s="37"/>
      <c r="W66" s="37"/>
    </row>
    <row r="67" spans="1:23" s="145" customFormat="1" ht="15.75" customHeight="1">
      <c r="A67" s="37"/>
      <c r="B67" s="37"/>
      <c r="C67" s="37"/>
      <c r="D67" s="37"/>
      <c r="E67" s="37"/>
      <c r="F67" s="37"/>
      <c r="G67" s="37"/>
      <c r="H67" s="37"/>
      <c r="I67" s="37"/>
      <c r="J67" s="37"/>
      <c r="K67" s="37"/>
      <c r="L67" s="37"/>
      <c r="M67" s="37"/>
      <c r="N67" s="37"/>
      <c r="O67" s="37"/>
      <c r="P67" s="37"/>
      <c r="Q67" s="37"/>
      <c r="R67" s="37"/>
      <c r="S67" s="37"/>
      <c r="T67" s="37"/>
      <c r="U67" s="37"/>
      <c r="V67" s="37"/>
      <c r="W67" s="37"/>
    </row>
    <row r="68" spans="1:23" s="145" customFormat="1" ht="15.75" customHeight="1">
      <c r="A68" s="37"/>
      <c r="B68" s="37"/>
      <c r="C68" s="37"/>
      <c r="D68" s="37"/>
      <c r="E68" s="37"/>
      <c r="F68" s="37"/>
      <c r="G68" s="37"/>
      <c r="H68" s="37"/>
      <c r="I68" s="37"/>
      <c r="J68" s="37"/>
      <c r="K68" s="37"/>
      <c r="L68" s="37"/>
      <c r="M68" s="37"/>
      <c r="N68" s="37"/>
      <c r="O68" s="37"/>
      <c r="P68" s="37"/>
      <c r="Q68" s="37"/>
      <c r="R68" s="37"/>
      <c r="S68" s="37"/>
      <c r="T68" s="37"/>
      <c r="U68" s="37"/>
      <c r="V68" s="37"/>
      <c r="W68" s="37"/>
    </row>
    <row r="69" spans="1:23" s="145" customFormat="1" ht="15.75" customHeight="1">
      <c r="A69" s="37"/>
      <c r="B69" s="37"/>
      <c r="C69" s="37"/>
      <c r="D69" s="37"/>
      <c r="E69" s="37"/>
      <c r="F69" s="37"/>
      <c r="G69" s="37"/>
      <c r="H69" s="37"/>
      <c r="I69" s="37"/>
      <c r="J69" s="37"/>
      <c r="K69" s="37"/>
      <c r="L69" s="37"/>
      <c r="M69" s="37"/>
      <c r="N69" s="37"/>
      <c r="O69" s="37"/>
      <c r="P69" s="37"/>
      <c r="Q69" s="37"/>
      <c r="R69" s="37"/>
      <c r="S69" s="37"/>
      <c r="T69" s="37"/>
      <c r="U69" s="37"/>
      <c r="V69" s="37"/>
      <c r="W69" s="37"/>
    </row>
    <row r="70" spans="1:23" s="145" customFormat="1" ht="15.75" customHeight="1">
      <c r="A70" s="37"/>
      <c r="B70" s="37"/>
      <c r="C70" s="37"/>
      <c r="D70" s="37"/>
      <c r="E70" s="37"/>
      <c r="F70" s="37"/>
      <c r="G70" s="37"/>
      <c r="H70" s="37"/>
      <c r="I70" s="37"/>
      <c r="J70" s="37"/>
      <c r="K70" s="37"/>
      <c r="L70" s="37"/>
      <c r="M70" s="37"/>
      <c r="N70" s="37"/>
      <c r="O70" s="37"/>
      <c r="P70" s="37"/>
      <c r="Q70" s="37"/>
      <c r="R70" s="37"/>
      <c r="S70" s="37"/>
      <c r="T70" s="37"/>
      <c r="U70" s="37"/>
      <c r="V70" s="37"/>
      <c r="W70" s="37"/>
    </row>
    <row r="71" spans="1:23" s="145" customFormat="1" ht="15.75" customHeight="1">
      <c r="A71" s="37"/>
      <c r="B71" s="37"/>
      <c r="C71" s="37"/>
      <c r="D71" s="37"/>
      <c r="E71" s="37"/>
      <c r="F71" s="37"/>
      <c r="G71" s="37"/>
      <c r="H71" s="37"/>
      <c r="I71" s="37"/>
      <c r="J71" s="37"/>
      <c r="K71" s="37"/>
      <c r="L71" s="37"/>
      <c r="M71" s="37"/>
      <c r="N71" s="37"/>
      <c r="O71" s="37"/>
      <c r="P71" s="37"/>
      <c r="Q71" s="37"/>
      <c r="R71" s="37"/>
      <c r="S71" s="37"/>
      <c r="T71" s="37"/>
      <c r="U71" s="37"/>
      <c r="V71" s="37"/>
      <c r="W71" s="37"/>
    </row>
    <row r="72" spans="1:23" s="145" customFormat="1" ht="15.75" customHeight="1">
      <c r="A72" s="37"/>
      <c r="B72" s="37"/>
      <c r="C72" s="37"/>
      <c r="D72" s="37"/>
      <c r="E72" s="37"/>
      <c r="F72" s="37"/>
      <c r="G72" s="37"/>
      <c r="H72" s="37"/>
      <c r="I72" s="37"/>
      <c r="J72" s="37"/>
      <c r="K72" s="37"/>
      <c r="L72" s="37"/>
      <c r="M72" s="37"/>
      <c r="N72" s="37"/>
      <c r="O72" s="37"/>
      <c r="P72" s="37"/>
      <c r="Q72" s="37"/>
      <c r="R72" s="37"/>
      <c r="S72" s="37"/>
      <c r="T72" s="37"/>
      <c r="U72" s="37"/>
      <c r="V72" s="37"/>
      <c r="W72" s="37"/>
    </row>
    <row r="73" spans="1:23" s="145" customFormat="1" ht="15.75" customHeight="1">
      <c r="A73" s="37"/>
      <c r="B73" s="37"/>
      <c r="C73" s="37"/>
      <c r="D73" s="37"/>
      <c r="E73" s="37"/>
      <c r="F73" s="37"/>
      <c r="G73" s="37"/>
      <c r="H73" s="37"/>
      <c r="I73" s="37"/>
      <c r="J73" s="37"/>
      <c r="K73" s="37"/>
      <c r="L73" s="37"/>
      <c r="M73" s="37"/>
      <c r="N73" s="37"/>
      <c r="O73" s="37"/>
      <c r="P73" s="37"/>
      <c r="Q73" s="37"/>
      <c r="R73" s="37"/>
      <c r="S73" s="37"/>
      <c r="T73" s="37"/>
      <c r="U73" s="37"/>
      <c r="V73" s="37"/>
      <c r="W73" s="37"/>
    </row>
    <row r="74" spans="1:23" s="145" customFormat="1" ht="15.75" customHeight="1">
      <c r="A74" s="37"/>
      <c r="B74" s="37"/>
      <c r="C74" s="37"/>
      <c r="D74" s="37"/>
      <c r="E74" s="37"/>
      <c r="F74" s="37"/>
      <c r="G74" s="37"/>
      <c r="H74" s="37"/>
      <c r="I74" s="37"/>
      <c r="J74" s="37"/>
      <c r="K74" s="37"/>
      <c r="L74" s="37"/>
      <c r="M74" s="37"/>
      <c r="N74" s="37"/>
      <c r="O74" s="37"/>
      <c r="P74" s="37"/>
      <c r="Q74" s="37"/>
      <c r="R74" s="37"/>
      <c r="S74" s="37"/>
      <c r="T74" s="37"/>
      <c r="U74" s="37"/>
      <c r="V74" s="37"/>
      <c r="W74" s="37"/>
    </row>
    <row r="75" spans="1:23" s="145" customFormat="1" ht="15.75" customHeight="1">
      <c r="A75" s="37"/>
      <c r="B75" s="37"/>
      <c r="C75" s="37"/>
      <c r="D75" s="37"/>
      <c r="E75" s="37"/>
      <c r="F75" s="37"/>
      <c r="G75" s="37"/>
      <c r="H75" s="37"/>
      <c r="I75" s="37"/>
      <c r="J75" s="37"/>
      <c r="K75" s="37"/>
      <c r="L75" s="37"/>
      <c r="M75" s="37"/>
      <c r="N75" s="37"/>
      <c r="O75" s="37"/>
      <c r="P75" s="37"/>
      <c r="Q75" s="37"/>
      <c r="R75" s="37"/>
      <c r="S75" s="37"/>
      <c r="T75" s="37"/>
      <c r="U75" s="37"/>
      <c r="V75" s="37"/>
      <c r="W75" s="37"/>
    </row>
    <row r="76" spans="1:23" s="145" customFormat="1" ht="15.75" customHeight="1">
      <c r="A76" s="37"/>
      <c r="B76" s="37"/>
      <c r="C76" s="37"/>
      <c r="D76" s="37"/>
      <c r="E76" s="37"/>
      <c r="F76" s="37"/>
      <c r="G76" s="37"/>
      <c r="H76" s="37"/>
      <c r="I76" s="37"/>
      <c r="J76" s="37"/>
      <c r="K76" s="37"/>
      <c r="L76" s="37"/>
      <c r="M76" s="37"/>
      <c r="N76" s="37"/>
      <c r="O76" s="37"/>
      <c r="P76" s="37"/>
      <c r="Q76" s="37"/>
      <c r="R76" s="37"/>
      <c r="S76" s="37"/>
      <c r="T76" s="37"/>
      <c r="U76" s="37"/>
      <c r="V76" s="37"/>
      <c r="W76" s="37"/>
    </row>
    <row r="77" spans="1:23" s="145" customFormat="1" ht="15.75" customHeight="1">
      <c r="A77" s="37"/>
      <c r="B77" s="37"/>
      <c r="C77" s="37"/>
      <c r="D77" s="37"/>
      <c r="E77" s="37"/>
      <c r="F77" s="37"/>
      <c r="G77" s="37"/>
      <c r="H77" s="37"/>
      <c r="I77" s="37"/>
      <c r="J77" s="37"/>
      <c r="K77" s="37"/>
      <c r="L77" s="37"/>
      <c r="M77" s="37"/>
      <c r="N77" s="37"/>
      <c r="O77" s="37"/>
      <c r="P77" s="37"/>
      <c r="Q77" s="37"/>
      <c r="R77" s="37"/>
      <c r="S77" s="37"/>
      <c r="T77" s="37"/>
      <c r="U77" s="37"/>
      <c r="V77" s="37"/>
      <c r="W77" s="37"/>
    </row>
    <row r="78" spans="1:23" s="145" customFormat="1" ht="15.75" customHeight="1">
      <c r="A78" s="37"/>
      <c r="B78" s="37"/>
      <c r="C78" s="37"/>
      <c r="D78" s="37"/>
      <c r="E78" s="37"/>
      <c r="F78" s="37"/>
      <c r="G78" s="37"/>
      <c r="H78" s="37"/>
      <c r="I78" s="37"/>
      <c r="J78" s="37"/>
      <c r="K78" s="37"/>
      <c r="L78" s="37"/>
      <c r="M78" s="37"/>
      <c r="N78" s="37"/>
      <c r="O78" s="37"/>
      <c r="P78" s="37"/>
      <c r="Q78" s="37"/>
      <c r="R78" s="37"/>
      <c r="S78" s="37"/>
      <c r="T78" s="37"/>
      <c r="U78" s="37"/>
      <c r="V78" s="37"/>
      <c r="W78" s="37"/>
    </row>
    <row r="79" spans="1:23" s="145" customFormat="1" ht="15.75" customHeight="1">
      <c r="A79" s="37"/>
      <c r="B79" s="37"/>
      <c r="C79" s="37"/>
      <c r="D79" s="37"/>
      <c r="E79" s="37"/>
      <c r="F79" s="37"/>
      <c r="G79" s="37"/>
      <c r="H79" s="37"/>
      <c r="I79" s="37"/>
      <c r="J79" s="37"/>
      <c r="K79" s="37"/>
      <c r="L79" s="37"/>
      <c r="M79" s="37"/>
      <c r="N79" s="37"/>
      <c r="O79" s="37"/>
      <c r="P79" s="37"/>
      <c r="Q79" s="37"/>
      <c r="R79" s="37"/>
      <c r="S79" s="37"/>
      <c r="T79" s="37"/>
      <c r="U79" s="37"/>
      <c r="V79" s="37"/>
      <c r="W79" s="37"/>
    </row>
    <row r="80" spans="1:23" s="145" customFormat="1" ht="15.75" customHeight="1">
      <c r="A80" s="37"/>
      <c r="B80" s="37"/>
      <c r="C80" s="37"/>
      <c r="D80" s="37"/>
      <c r="E80" s="37"/>
      <c r="F80" s="37"/>
      <c r="G80" s="37"/>
      <c r="H80" s="37"/>
      <c r="I80" s="37"/>
      <c r="J80" s="37"/>
      <c r="K80" s="37"/>
      <c r="L80" s="37"/>
      <c r="M80" s="37"/>
      <c r="N80" s="37"/>
      <c r="O80" s="37"/>
      <c r="P80" s="37"/>
      <c r="Q80" s="37"/>
      <c r="R80" s="37"/>
      <c r="S80" s="37"/>
      <c r="T80" s="37"/>
      <c r="U80" s="37"/>
      <c r="V80" s="37"/>
      <c r="W80" s="37"/>
    </row>
    <row r="81" spans="1:23" s="145" customFormat="1" ht="15.75" customHeight="1">
      <c r="A81" s="37"/>
      <c r="B81" s="37"/>
      <c r="C81" s="37"/>
      <c r="D81" s="37"/>
      <c r="E81" s="37"/>
      <c r="F81" s="37"/>
      <c r="G81" s="37"/>
      <c r="H81" s="37"/>
      <c r="I81" s="37"/>
      <c r="J81" s="37"/>
      <c r="K81" s="37"/>
      <c r="L81" s="37"/>
      <c r="M81" s="37"/>
      <c r="N81" s="37"/>
      <c r="O81" s="37"/>
      <c r="P81" s="37"/>
      <c r="Q81" s="37"/>
      <c r="R81" s="37"/>
      <c r="S81" s="37"/>
      <c r="T81" s="37"/>
      <c r="U81" s="37"/>
      <c r="V81" s="37"/>
      <c r="W81" s="37"/>
    </row>
    <row r="82" spans="1:23" s="145" customFormat="1" ht="15.75" customHeight="1">
      <c r="A82" s="37"/>
      <c r="B82" s="37"/>
      <c r="C82" s="37"/>
      <c r="D82" s="37"/>
      <c r="E82" s="37"/>
      <c r="F82" s="37"/>
      <c r="G82" s="37"/>
      <c r="H82" s="37"/>
      <c r="I82" s="37"/>
      <c r="J82" s="37"/>
      <c r="K82" s="37"/>
      <c r="L82" s="37"/>
      <c r="M82" s="37"/>
      <c r="N82" s="37"/>
      <c r="O82" s="37"/>
      <c r="P82" s="37"/>
      <c r="Q82" s="37"/>
      <c r="R82" s="37"/>
      <c r="S82" s="37"/>
      <c r="T82" s="37"/>
      <c r="U82" s="37"/>
      <c r="V82" s="37"/>
      <c r="W82" s="37"/>
    </row>
    <row r="83" spans="1:23" s="145" customFormat="1" ht="15.75" customHeight="1">
      <c r="A83" s="37"/>
      <c r="B83" s="37"/>
      <c r="C83" s="37"/>
      <c r="D83" s="37"/>
      <c r="E83" s="37"/>
      <c r="F83" s="37"/>
      <c r="G83" s="37"/>
      <c r="H83" s="37"/>
      <c r="I83" s="37"/>
      <c r="J83" s="37"/>
      <c r="K83" s="37"/>
      <c r="L83" s="37"/>
      <c r="M83" s="37"/>
      <c r="N83" s="37"/>
      <c r="O83" s="37"/>
      <c r="P83" s="37"/>
      <c r="Q83" s="37"/>
      <c r="R83" s="37"/>
      <c r="S83" s="37"/>
      <c r="T83" s="37"/>
      <c r="U83" s="37"/>
      <c r="V83" s="37"/>
      <c r="W83" s="37"/>
    </row>
    <row r="84" spans="1:23" s="145" customFormat="1" ht="15.75" customHeight="1">
      <c r="A84" s="37"/>
      <c r="B84" s="37"/>
      <c r="C84" s="37"/>
      <c r="D84" s="37"/>
      <c r="E84" s="37"/>
      <c r="F84" s="37"/>
      <c r="G84" s="37"/>
      <c r="H84" s="37"/>
      <c r="I84" s="37"/>
      <c r="J84" s="37"/>
      <c r="K84" s="37"/>
      <c r="L84" s="37"/>
      <c r="M84" s="37"/>
      <c r="N84" s="37"/>
      <c r="O84" s="37"/>
      <c r="P84" s="37"/>
      <c r="Q84" s="37"/>
      <c r="R84" s="37"/>
      <c r="S84" s="37"/>
      <c r="T84" s="37"/>
      <c r="U84" s="37"/>
      <c r="V84" s="37"/>
      <c r="W84" s="37"/>
    </row>
    <row r="85" spans="1:23" s="145" customFormat="1" ht="15.75" customHeight="1">
      <c r="A85" s="37"/>
      <c r="B85" s="37"/>
      <c r="C85" s="37"/>
      <c r="D85" s="37"/>
      <c r="E85" s="37"/>
      <c r="F85" s="37"/>
      <c r="G85" s="37"/>
      <c r="H85" s="37"/>
      <c r="I85" s="37"/>
      <c r="J85" s="37"/>
      <c r="K85" s="37"/>
      <c r="L85" s="37"/>
      <c r="M85" s="37"/>
      <c r="N85" s="37"/>
      <c r="O85" s="37"/>
      <c r="P85" s="37"/>
      <c r="Q85" s="37"/>
      <c r="R85" s="37"/>
      <c r="S85" s="37"/>
      <c r="T85" s="37"/>
      <c r="U85" s="37"/>
      <c r="V85" s="37"/>
      <c r="W85" s="37"/>
    </row>
    <row r="86" spans="1:23" s="145" customFormat="1" ht="15.75" customHeight="1">
      <c r="A86" s="37"/>
      <c r="B86" s="37"/>
      <c r="C86" s="37"/>
      <c r="D86" s="37"/>
      <c r="E86" s="37"/>
      <c r="F86" s="37"/>
      <c r="G86" s="37"/>
      <c r="H86" s="37"/>
      <c r="I86" s="37"/>
      <c r="J86" s="37"/>
      <c r="K86" s="37"/>
      <c r="L86" s="37"/>
      <c r="M86" s="37"/>
      <c r="N86" s="37"/>
      <c r="O86" s="37"/>
      <c r="P86" s="37"/>
      <c r="Q86" s="37"/>
      <c r="R86" s="37"/>
      <c r="S86" s="37"/>
      <c r="T86" s="37"/>
      <c r="U86" s="37"/>
      <c r="V86" s="37"/>
      <c r="W86" s="37"/>
    </row>
    <row r="87" spans="1:23" s="145" customFormat="1" ht="15.75" customHeight="1">
      <c r="A87" s="37"/>
      <c r="B87" s="37"/>
      <c r="C87" s="37"/>
      <c r="D87" s="37"/>
      <c r="E87" s="37"/>
      <c r="F87" s="37"/>
      <c r="G87" s="37"/>
      <c r="H87" s="37"/>
      <c r="I87" s="37"/>
      <c r="J87" s="37"/>
      <c r="K87" s="37"/>
      <c r="L87" s="37"/>
      <c r="M87" s="37"/>
      <c r="N87" s="37"/>
      <c r="O87" s="37"/>
      <c r="P87" s="37"/>
      <c r="Q87" s="37"/>
      <c r="R87" s="37"/>
      <c r="S87" s="37"/>
      <c r="T87" s="37"/>
      <c r="U87" s="37"/>
      <c r="V87" s="37"/>
      <c r="W87" s="37"/>
    </row>
    <row r="88" spans="1:23" s="145" customFormat="1" ht="15.75" customHeight="1">
      <c r="A88" s="37"/>
      <c r="B88" s="37"/>
      <c r="C88" s="37"/>
      <c r="D88" s="37"/>
      <c r="E88" s="37"/>
      <c r="F88" s="37"/>
      <c r="G88" s="37"/>
      <c r="H88" s="37"/>
      <c r="I88" s="37"/>
      <c r="J88" s="37"/>
      <c r="K88" s="37"/>
      <c r="L88" s="37"/>
      <c r="M88" s="37"/>
      <c r="N88" s="37"/>
      <c r="O88" s="37"/>
      <c r="P88" s="37"/>
      <c r="Q88" s="37"/>
      <c r="R88" s="37"/>
      <c r="S88" s="37"/>
      <c r="T88" s="37"/>
      <c r="U88" s="37"/>
      <c r="V88" s="37"/>
      <c r="W88" s="37"/>
    </row>
    <row r="89" spans="1:23" s="145" customFormat="1" ht="15.75" customHeight="1">
      <c r="A89" s="37"/>
      <c r="B89" s="37"/>
      <c r="C89" s="37"/>
      <c r="D89" s="37"/>
      <c r="E89" s="37"/>
      <c r="F89" s="37"/>
      <c r="G89" s="37"/>
      <c r="H89" s="37"/>
      <c r="I89" s="37"/>
      <c r="J89" s="37"/>
      <c r="K89" s="37"/>
      <c r="L89" s="37"/>
      <c r="M89" s="37"/>
      <c r="N89" s="37"/>
      <c r="O89" s="37"/>
      <c r="P89" s="37"/>
      <c r="Q89" s="37"/>
      <c r="R89" s="37"/>
      <c r="S89" s="37"/>
      <c r="T89" s="37"/>
      <c r="U89" s="37"/>
      <c r="V89" s="37"/>
      <c r="W89" s="37"/>
    </row>
    <row r="90" spans="1:23" s="145" customFormat="1" ht="15.75" customHeight="1">
      <c r="A90" s="37"/>
      <c r="B90" s="37"/>
      <c r="C90" s="37"/>
      <c r="D90" s="37"/>
      <c r="E90" s="37"/>
      <c r="F90" s="37"/>
      <c r="G90" s="37"/>
      <c r="H90" s="37"/>
      <c r="I90" s="37"/>
      <c r="J90" s="37"/>
      <c r="K90" s="37"/>
      <c r="L90" s="37"/>
      <c r="M90" s="37"/>
      <c r="N90" s="37"/>
      <c r="O90" s="37"/>
      <c r="P90" s="37"/>
      <c r="Q90" s="37"/>
      <c r="R90" s="37"/>
      <c r="S90" s="37"/>
      <c r="T90" s="37"/>
      <c r="U90" s="37"/>
      <c r="V90" s="37"/>
      <c r="W90" s="37"/>
    </row>
    <row r="91" spans="1:23" s="145" customFormat="1" ht="15.75" customHeight="1">
      <c r="A91" s="37"/>
      <c r="B91" s="37"/>
      <c r="C91" s="37"/>
      <c r="D91" s="37"/>
      <c r="E91" s="37"/>
      <c r="F91" s="37"/>
      <c r="G91" s="37"/>
      <c r="H91" s="37"/>
      <c r="I91" s="37"/>
      <c r="J91" s="37"/>
      <c r="K91" s="37"/>
      <c r="L91" s="37"/>
      <c r="M91" s="37"/>
      <c r="N91" s="37"/>
      <c r="O91" s="37"/>
      <c r="P91" s="37"/>
      <c r="Q91" s="37"/>
      <c r="R91" s="37"/>
      <c r="S91" s="37"/>
      <c r="T91" s="37"/>
      <c r="U91" s="37"/>
      <c r="V91" s="37"/>
      <c r="W91" s="37"/>
    </row>
    <row r="92" spans="1:23" s="145" customFormat="1" ht="15.75" customHeight="1">
      <c r="A92" s="37"/>
      <c r="B92" s="37"/>
      <c r="C92" s="37"/>
      <c r="D92" s="37"/>
      <c r="E92" s="37"/>
      <c r="F92" s="37"/>
      <c r="G92" s="37"/>
      <c r="H92" s="37"/>
      <c r="I92" s="37"/>
      <c r="J92" s="37"/>
      <c r="K92" s="37"/>
      <c r="L92" s="37"/>
      <c r="M92" s="37"/>
      <c r="N92" s="37"/>
      <c r="O92" s="37"/>
      <c r="P92" s="37"/>
      <c r="Q92" s="37"/>
      <c r="R92" s="37"/>
      <c r="S92" s="37"/>
      <c r="T92" s="37"/>
      <c r="U92" s="37"/>
      <c r="V92" s="37"/>
      <c r="W92" s="37"/>
    </row>
    <row r="93" spans="1:23" s="145" customFormat="1" ht="15.75" customHeight="1">
      <c r="A93" s="37"/>
      <c r="B93" s="37"/>
      <c r="C93" s="37"/>
      <c r="D93" s="37"/>
      <c r="E93" s="37"/>
      <c r="F93" s="37"/>
      <c r="G93" s="37"/>
      <c r="H93" s="37"/>
      <c r="I93" s="37"/>
      <c r="J93" s="37"/>
      <c r="K93" s="37"/>
      <c r="L93" s="37"/>
      <c r="M93" s="37"/>
      <c r="N93" s="37"/>
      <c r="O93" s="37"/>
      <c r="P93" s="37"/>
      <c r="Q93" s="37"/>
      <c r="R93" s="37"/>
      <c r="S93" s="37"/>
      <c r="T93" s="37"/>
      <c r="U93" s="37"/>
      <c r="V93" s="37"/>
      <c r="W93" s="37"/>
    </row>
    <row r="94" spans="1:23" s="145" customFormat="1" ht="15.75" customHeight="1">
      <c r="A94" s="37"/>
      <c r="B94" s="37"/>
      <c r="C94" s="37"/>
      <c r="D94" s="37"/>
      <c r="E94" s="37"/>
      <c r="F94" s="37"/>
      <c r="G94" s="37"/>
      <c r="H94" s="37"/>
      <c r="I94" s="37"/>
      <c r="J94" s="37"/>
      <c r="K94" s="37"/>
      <c r="L94" s="37"/>
      <c r="M94" s="37"/>
      <c r="N94" s="37"/>
      <c r="O94" s="37"/>
      <c r="P94" s="37"/>
      <c r="Q94" s="37"/>
      <c r="R94" s="37"/>
      <c r="S94" s="37"/>
      <c r="T94" s="37"/>
      <c r="U94" s="37"/>
      <c r="V94" s="37"/>
      <c r="W94" s="37"/>
    </row>
    <row r="95" spans="1:23" s="145" customFormat="1" ht="15.75" customHeight="1">
      <c r="A95" s="37"/>
      <c r="B95" s="37"/>
      <c r="C95" s="37"/>
      <c r="D95" s="37"/>
      <c r="E95" s="37"/>
      <c r="F95" s="37"/>
      <c r="G95" s="37"/>
      <c r="H95" s="37"/>
      <c r="I95" s="37"/>
      <c r="J95" s="37"/>
      <c r="K95" s="37"/>
      <c r="L95" s="37"/>
      <c r="M95" s="37"/>
      <c r="N95" s="37"/>
      <c r="O95" s="37"/>
      <c r="P95" s="37"/>
      <c r="Q95" s="37"/>
      <c r="R95" s="37"/>
      <c r="S95" s="37"/>
      <c r="T95" s="37"/>
      <c r="U95" s="37"/>
      <c r="V95" s="37"/>
      <c r="W95" s="37"/>
    </row>
    <row r="96" spans="1:23" s="145" customFormat="1" ht="15.75" customHeight="1">
      <c r="A96" s="37"/>
      <c r="B96" s="37"/>
      <c r="C96" s="37"/>
      <c r="D96" s="37"/>
      <c r="E96" s="37"/>
      <c r="F96" s="37"/>
      <c r="G96" s="37"/>
      <c r="H96" s="37"/>
      <c r="I96" s="37"/>
      <c r="J96" s="37"/>
      <c r="K96" s="37"/>
      <c r="L96" s="37"/>
      <c r="M96" s="37"/>
      <c r="N96" s="37"/>
      <c r="O96" s="37"/>
      <c r="P96" s="37"/>
      <c r="Q96" s="37"/>
      <c r="R96" s="37"/>
      <c r="S96" s="37"/>
      <c r="T96" s="37"/>
      <c r="U96" s="37"/>
      <c r="V96" s="37"/>
      <c r="W96" s="37"/>
    </row>
    <row r="97" spans="1:23" s="145" customFormat="1" ht="15.75" customHeight="1">
      <c r="A97" s="37"/>
      <c r="B97" s="37"/>
      <c r="C97" s="37"/>
      <c r="D97" s="37"/>
      <c r="E97" s="37"/>
      <c r="F97" s="37"/>
      <c r="G97" s="37"/>
      <c r="H97" s="37"/>
      <c r="I97" s="37"/>
      <c r="J97" s="37"/>
      <c r="K97" s="37"/>
      <c r="L97" s="37"/>
      <c r="M97" s="37"/>
      <c r="N97" s="37"/>
      <c r="O97" s="37"/>
      <c r="P97" s="37"/>
      <c r="Q97" s="37"/>
      <c r="R97" s="37"/>
      <c r="S97" s="37"/>
      <c r="T97" s="37"/>
      <c r="U97" s="37"/>
      <c r="V97" s="37"/>
      <c r="W97" s="37"/>
    </row>
    <row r="98" spans="1:23" s="145" customFormat="1" ht="15.75" customHeight="1">
      <c r="A98" s="37"/>
      <c r="B98" s="37"/>
      <c r="C98" s="37"/>
      <c r="D98" s="37"/>
      <c r="E98" s="37"/>
      <c r="F98" s="37"/>
      <c r="G98" s="37"/>
      <c r="H98" s="37"/>
      <c r="I98" s="37"/>
      <c r="J98" s="37"/>
      <c r="K98" s="37"/>
      <c r="L98" s="37"/>
      <c r="M98" s="37"/>
      <c r="N98" s="37"/>
      <c r="O98" s="37"/>
      <c r="P98" s="37"/>
      <c r="Q98" s="37"/>
      <c r="R98" s="37"/>
      <c r="S98" s="37"/>
      <c r="T98" s="37"/>
      <c r="U98" s="37"/>
      <c r="V98" s="37"/>
      <c r="W98" s="37"/>
    </row>
    <row r="99" spans="1:23" s="145" customFormat="1" ht="15.75" customHeight="1">
      <c r="A99" s="37"/>
      <c r="B99" s="37"/>
      <c r="C99" s="37"/>
      <c r="D99" s="37"/>
      <c r="E99" s="37"/>
      <c r="F99" s="37"/>
      <c r="G99" s="37"/>
      <c r="H99" s="37"/>
      <c r="I99" s="37"/>
      <c r="J99" s="37"/>
      <c r="K99" s="37"/>
      <c r="L99" s="37"/>
      <c r="M99" s="37"/>
      <c r="N99" s="37"/>
      <c r="O99" s="37"/>
      <c r="P99" s="37"/>
      <c r="Q99" s="37"/>
      <c r="R99" s="37"/>
      <c r="S99" s="37"/>
      <c r="T99" s="37"/>
      <c r="U99" s="37"/>
      <c r="V99" s="37"/>
      <c r="W99" s="37"/>
    </row>
    <row r="100" spans="1:23" s="145" customFormat="1" ht="15.7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row>
    <row r="101" spans="1:23" s="145" customFormat="1" ht="15.7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row>
    <row r="102" spans="1:23" s="145" customFormat="1" ht="15.7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row>
    <row r="103" spans="1:23" s="145" customFormat="1" ht="15.7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row>
    <row r="104" spans="1:23" s="145" customFormat="1" ht="15.7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row>
    <row r="105" spans="1:23" s="145" customFormat="1" ht="15.7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row>
    <row r="106" spans="1:23" s="145" customFormat="1" ht="15.7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row>
    <row r="107" spans="1:23" s="145" customFormat="1" ht="15.7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row>
    <row r="108" spans="1:23" s="145" customFormat="1" ht="15.7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row>
    <row r="109" spans="1:23" s="145" customFormat="1" ht="15.7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row>
    <row r="110" spans="1:23" s="145" customFormat="1" ht="15.7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row>
    <row r="111" spans="1:23" s="145" customFormat="1" ht="15.7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row>
    <row r="112" spans="1:23" s="145" customFormat="1" ht="15.7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row>
    <row r="113" spans="1:23" s="145" customFormat="1" ht="15.7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row>
    <row r="114" spans="1:23" s="145" customFormat="1" ht="15.7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row>
    <row r="115" spans="1:23" s="145" customFormat="1" ht="15.7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row>
    <row r="116" spans="1:23" s="145" customFormat="1" ht="15.7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row>
    <row r="117" spans="1:23" s="145" customFormat="1" ht="15.7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row>
    <row r="118" spans="1:23" s="145" customFormat="1" ht="15.7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row>
    <row r="119" spans="1:23" s="145" customFormat="1" ht="15.7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row>
    <row r="120" spans="1:23" s="145" customFormat="1" ht="15.7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row>
    <row r="121" spans="1:23" s="145" customFormat="1" ht="15.7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row>
    <row r="122" spans="1:23" s="145" customFormat="1" ht="15.7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row>
    <row r="123" spans="1:23" s="145" customFormat="1" ht="15.7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row>
    <row r="124" spans="1:23" s="145" customFormat="1" ht="15.7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row>
    <row r="125" spans="1:23" s="145" customFormat="1" ht="15.7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row>
    <row r="126" spans="1:23" s="145" customFormat="1" ht="15.7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row>
    <row r="127" spans="1:23" s="145" customFormat="1" ht="15.7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row>
    <row r="128" spans="1:23" s="145" customFormat="1" ht="15.7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row>
    <row r="129" spans="1:23" s="145" customFormat="1" ht="15.7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row>
    <row r="130" spans="1:23" customFormat="1" ht="15.75" customHeight="1">
      <c r="A130" s="57"/>
      <c r="B130" s="57"/>
      <c r="C130" s="57"/>
      <c r="D130" s="57"/>
      <c r="E130" s="57"/>
      <c r="F130" s="57"/>
      <c r="G130" s="57"/>
      <c r="H130" s="57"/>
      <c r="I130" s="57"/>
      <c r="J130" s="57"/>
      <c r="K130" s="57"/>
      <c r="L130" s="57"/>
      <c r="M130" s="37"/>
      <c r="N130" s="37"/>
      <c r="O130" s="37"/>
      <c r="P130" s="37"/>
      <c r="Q130" s="37"/>
      <c r="R130" s="37"/>
      <c r="S130" s="37"/>
      <c r="T130" s="37"/>
      <c r="U130" s="37"/>
      <c r="V130" s="37"/>
      <c r="W130" s="37"/>
    </row>
    <row r="131" spans="1:23" customFormat="1" ht="15.75" customHeight="1">
      <c r="A131" s="57"/>
      <c r="B131" s="57"/>
      <c r="C131" s="57"/>
      <c r="D131" s="57"/>
      <c r="E131" s="57"/>
      <c r="F131" s="57"/>
      <c r="G131" s="57"/>
      <c r="H131" s="57"/>
      <c r="I131" s="57"/>
      <c r="J131" s="57"/>
      <c r="K131" s="57"/>
      <c r="L131" s="57"/>
      <c r="M131" s="37"/>
      <c r="N131" s="37"/>
      <c r="O131" s="37"/>
      <c r="P131" s="37"/>
      <c r="Q131" s="37"/>
      <c r="R131" s="37"/>
      <c r="S131" s="37"/>
      <c r="T131" s="37"/>
      <c r="U131" s="37"/>
      <c r="V131" s="37"/>
      <c r="W131" s="37"/>
    </row>
    <row r="132" spans="1:23" customFormat="1" ht="15.75" customHeight="1">
      <c r="A132" s="57"/>
      <c r="B132" s="57"/>
      <c r="C132" s="57"/>
      <c r="D132" s="57"/>
      <c r="E132" s="57"/>
      <c r="F132" s="57"/>
      <c r="G132" s="57"/>
      <c r="H132" s="57"/>
      <c r="I132" s="57"/>
      <c r="J132" s="57"/>
      <c r="K132" s="57"/>
      <c r="L132" s="57"/>
      <c r="M132" s="37"/>
      <c r="N132" s="37"/>
      <c r="O132" s="37"/>
      <c r="P132" s="37"/>
      <c r="Q132" s="37"/>
      <c r="R132" s="37"/>
      <c r="S132" s="37"/>
      <c r="T132" s="37"/>
      <c r="U132" s="37"/>
      <c r="V132" s="37"/>
      <c r="W132" s="37"/>
    </row>
    <row r="133" spans="1:23" customFormat="1" ht="15.75" customHeight="1">
      <c r="A133" s="57"/>
      <c r="B133" s="57"/>
      <c r="C133" s="57"/>
      <c r="D133" s="57"/>
      <c r="E133" s="57"/>
      <c r="F133" s="57"/>
      <c r="G133" s="57"/>
      <c r="H133" s="57"/>
      <c r="I133" s="57"/>
      <c r="J133" s="57"/>
      <c r="K133" s="57"/>
      <c r="L133" s="57"/>
      <c r="M133" s="37"/>
      <c r="N133" s="37"/>
      <c r="O133" s="37"/>
      <c r="P133" s="37"/>
      <c r="Q133" s="37"/>
      <c r="R133" s="37"/>
      <c r="S133" s="37"/>
      <c r="T133" s="37"/>
      <c r="U133" s="37"/>
      <c r="V133" s="37"/>
      <c r="W133" s="37"/>
    </row>
    <row r="134" spans="1:23" customFormat="1" ht="15.75" customHeight="1">
      <c r="A134" s="57"/>
      <c r="B134" s="57"/>
      <c r="C134" s="57"/>
      <c r="D134" s="57"/>
      <c r="E134" s="57"/>
      <c r="F134" s="57"/>
      <c r="G134" s="57"/>
      <c r="H134" s="57"/>
      <c r="I134" s="57"/>
      <c r="J134" s="57"/>
      <c r="K134" s="57"/>
      <c r="L134" s="57"/>
      <c r="M134" s="37"/>
      <c r="N134" s="37"/>
      <c r="O134" s="37"/>
      <c r="P134" s="37"/>
      <c r="Q134" s="37"/>
      <c r="R134" s="37"/>
      <c r="S134" s="37"/>
      <c r="T134" s="37"/>
      <c r="U134" s="37"/>
      <c r="V134" s="37"/>
      <c r="W134" s="37"/>
    </row>
    <row r="135" spans="1:23" customFormat="1" ht="15.75" customHeight="1">
      <c r="A135" s="57"/>
      <c r="B135" s="57"/>
      <c r="C135" s="57"/>
      <c r="D135" s="57"/>
      <c r="E135" s="57"/>
      <c r="F135" s="57"/>
      <c r="G135" s="57"/>
      <c r="H135" s="57"/>
      <c r="I135" s="57"/>
      <c r="J135" s="57"/>
      <c r="K135" s="57"/>
      <c r="L135" s="57"/>
      <c r="M135" s="37"/>
      <c r="N135" s="37"/>
      <c r="O135" s="37"/>
      <c r="P135" s="37"/>
      <c r="Q135" s="37"/>
      <c r="R135" s="37"/>
      <c r="S135" s="37"/>
      <c r="T135" s="37"/>
      <c r="U135" s="37"/>
      <c r="V135" s="37"/>
      <c r="W135" s="37"/>
    </row>
    <row r="136" spans="1:23" customFormat="1" ht="15.75" customHeight="1">
      <c r="A136" s="57"/>
      <c r="B136" s="57"/>
      <c r="C136" s="57"/>
      <c r="D136" s="57"/>
      <c r="E136" s="57"/>
      <c r="F136" s="57"/>
      <c r="G136" s="57"/>
      <c r="H136" s="57"/>
      <c r="I136" s="57"/>
      <c r="J136" s="57"/>
      <c r="K136" s="57"/>
      <c r="L136" s="57"/>
      <c r="M136" s="37"/>
      <c r="N136" s="37"/>
      <c r="O136" s="37"/>
      <c r="P136" s="37"/>
      <c r="Q136" s="37"/>
      <c r="R136" s="37"/>
      <c r="S136" s="37"/>
      <c r="T136" s="37"/>
      <c r="U136" s="37"/>
      <c r="V136" s="37"/>
      <c r="W136" s="37"/>
    </row>
    <row r="137" spans="1:23" customFormat="1" ht="15.75" customHeight="1">
      <c r="A137" s="57"/>
      <c r="B137" s="57"/>
      <c r="C137" s="57"/>
      <c r="D137" s="57"/>
      <c r="E137" s="57"/>
      <c r="F137" s="57"/>
      <c r="G137" s="57"/>
      <c r="H137" s="57"/>
      <c r="I137" s="57"/>
      <c r="J137" s="57"/>
      <c r="K137" s="57"/>
      <c r="L137" s="57"/>
      <c r="M137" s="37"/>
      <c r="N137" s="37"/>
      <c r="O137" s="37"/>
      <c r="P137" s="37"/>
      <c r="Q137" s="37"/>
      <c r="R137" s="37"/>
      <c r="S137" s="37"/>
      <c r="T137" s="37"/>
      <c r="U137" s="37"/>
      <c r="V137" s="37"/>
      <c r="W137" s="37"/>
    </row>
    <row r="138" spans="1:23" customFormat="1" ht="15.75" customHeight="1">
      <c r="A138" s="57"/>
      <c r="B138" s="57"/>
      <c r="C138" s="57"/>
      <c r="D138" s="57"/>
      <c r="E138" s="57"/>
      <c r="F138" s="57"/>
      <c r="G138" s="57"/>
      <c r="H138" s="57"/>
      <c r="I138" s="57"/>
      <c r="J138" s="57"/>
      <c r="K138" s="57"/>
      <c r="L138" s="57"/>
      <c r="M138" s="37"/>
      <c r="N138" s="37"/>
      <c r="O138" s="37"/>
      <c r="P138" s="37"/>
      <c r="Q138" s="37"/>
      <c r="R138" s="37"/>
      <c r="S138" s="37"/>
      <c r="T138" s="37"/>
      <c r="U138" s="37"/>
      <c r="V138" s="37"/>
      <c r="W138" s="37"/>
    </row>
    <row r="139" spans="1:23" customFormat="1" ht="15.75" customHeight="1">
      <c r="A139" s="57"/>
      <c r="B139" s="57"/>
      <c r="C139" s="57"/>
      <c r="D139" s="57"/>
      <c r="E139" s="57"/>
      <c r="F139" s="57"/>
      <c r="G139" s="57"/>
      <c r="H139" s="57"/>
      <c r="I139" s="57"/>
      <c r="J139" s="57"/>
      <c r="K139" s="57"/>
      <c r="L139" s="57"/>
      <c r="M139" s="37"/>
      <c r="N139" s="37"/>
      <c r="O139" s="37"/>
      <c r="P139" s="37"/>
      <c r="Q139" s="37"/>
      <c r="R139" s="37"/>
      <c r="S139" s="37"/>
      <c r="T139" s="37"/>
      <c r="U139" s="37"/>
      <c r="V139" s="37"/>
      <c r="W139" s="37"/>
    </row>
    <row r="140" spans="1:23" customFormat="1" ht="15.75" customHeight="1">
      <c r="A140" s="57"/>
      <c r="B140" s="57"/>
      <c r="C140" s="57"/>
      <c r="D140" s="57"/>
      <c r="E140" s="57"/>
      <c r="F140" s="57"/>
      <c r="G140" s="57"/>
      <c r="H140" s="57"/>
      <c r="I140" s="57"/>
      <c r="J140" s="57"/>
      <c r="K140" s="57"/>
      <c r="L140" s="57"/>
      <c r="M140" s="37"/>
      <c r="N140" s="37"/>
      <c r="O140" s="37"/>
      <c r="P140" s="37"/>
      <c r="Q140" s="37"/>
      <c r="R140" s="37"/>
      <c r="S140" s="37"/>
      <c r="T140" s="37"/>
      <c r="U140" s="37"/>
      <c r="V140" s="37"/>
      <c r="W140" s="37"/>
    </row>
    <row r="141" spans="1:23" customFormat="1" ht="15.75" customHeight="1">
      <c r="A141" s="57"/>
      <c r="B141" s="57"/>
      <c r="C141" s="57"/>
      <c r="D141" s="57"/>
      <c r="E141" s="57"/>
      <c r="F141" s="57"/>
      <c r="G141" s="57"/>
      <c r="H141" s="57"/>
      <c r="I141" s="57"/>
      <c r="J141" s="57"/>
      <c r="K141" s="57"/>
      <c r="L141" s="57"/>
      <c r="M141" s="37"/>
      <c r="N141" s="37"/>
      <c r="O141" s="37"/>
      <c r="P141" s="37"/>
      <c r="Q141" s="37"/>
      <c r="R141" s="37"/>
      <c r="S141" s="37"/>
      <c r="T141" s="37"/>
      <c r="U141" s="37"/>
      <c r="V141" s="37"/>
      <c r="W141" s="37"/>
    </row>
    <row r="142" spans="1:23" customFormat="1" ht="15.75" customHeight="1">
      <c r="A142" s="57"/>
      <c r="B142" s="57"/>
      <c r="C142" s="57"/>
      <c r="D142" s="57"/>
      <c r="E142" s="57"/>
      <c r="F142" s="57"/>
      <c r="G142" s="57"/>
      <c r="H142" s="57"/>
      <c r="I142" s="57"/>
      <c r="J142" s="57"/>
      <c r="K142" s="57"/>
      <c r="L142" s="57"/>
      <c r="M142" s="37"/>
      <c r="N142" s="37"/>
      <c r="O142" s="37"/>
      <c r="P142" s="37"/>
      <c r="Q142" s="37"/>
      <c r="R142" s="37"/>
      <c r="S142" s="37"/>
      <c r="T142" s="37"/>
      <c r="U142" s="37"/>
      <c r="V142" s="37"/>
      <c r="W142" s="37"/>
    </row>
    <row r="143" spans="1:23" customFormat="1" ht="15.75" customHeight="1">
      <c r="A143" s="57"/>
      <c r="B143" s="57"/>
      <c r="C143" s="57"/>
      <c r="D143" s="57"/>
      <c r="E143" s="57"/>
      <c r="F143" s="57"/>
      <c r="G143" s="57"/>
      <c r="H143" s="57"/>
      <c r="I143" s="57"/>
      <c r="J143" s="57"/>
      <c r="K143" s="57"/>
      <c r="L143" s="57"/>
      <c r="M143" s="37"/>
      <c r="N143" s="37"/>
      <c r="O143" s="37"/>
      <c r="P143" s="37"/>
      <c r="Q143" s="37"/>
      <c r="R143" s="37"/>
      <c r="S143" s="37"/>
      <c r="T143" s="37"/>
      <c r="U143" s="37"/>
      <c r="V143" s="37"/>
      <c r="W143" s="37"/>
    </row>
    <row r="144" spans="1:23" customFormat="1" ht="15.75" customHeight="1">
      <c r="A144" s="57"/>
      <c r="B144" s="57"/>
      <c r="C144" s="57"/>
      <c r="D144" s="57"/>
      <c r="E144" s="57"/>
      <c r="F144" s="57"/>
      <c r="G144" s="57"/>
      <c r="H144" s="57"/>
      <c r="I144" s="57"/>
      <c r="J144" s="57"/>
      <c r="K144" s="57"/>
      <c r="L144" s="57"/>
      <c r="M144" s="37"/>
      <c r="N144" s="37"/>
      <c r="O144" s="37"/>
      <c r="P144" s="37"/>
      <c r="Q144" s="37"/>
      <c r="R144" s="37"/>
      <c r="S144" s="37"/>
      <c r="T144" s="37"/>
      <c r="U144" s="37"/>
      <c r="V144" s="37"/>
      <c r="W144" s="37"/>
    </row>
    <row r="145" spans="1:23" customFormat="1" ht="15.75" customHeight="1">
      <c r="A145" s="57"/>
      <c r="B145" s="57"/>
      <c r="C145" s="57"/>
      <c r="D145" s="57"/>
      <c r="E145" s="57"/>
      <c r="F145" s="57"/>
      <c r="G145" s="57"/>
      <c r="H145" s="57"/>
      <c r="I145" s="57"/>
      <c r="J145" s="57"/>
      <c r="K145" s="57"/>
      <c r="L145" s="57"/>
      <c r="M145" s="37"/>
      <c r="N145" s="37"/>
      <c r="O145" s="37"/>
      <c r="P145" s="37"/>
      <c r="Q145" s="37"/>
      <c r="R145" s="37"/>
      <c r="S145" s="37"/>
      <c r="T145" s="37"/>
      <c r="U145" s="37"/>
      <c r="V145" s="37"/>
      <c r="W145" s="37"/>
    </row>
    <row r="146" spans="1:23" customFormat="1" ht="15.75" customHeight="1">
      <c r="A146" s="57"/>
      <c r="B146" s="57"/>
      <c r="C146" s="57"/>
      <c r="D146" s="57"/>
      <c r="E146" s="57"/>
      <c r="F146" s="57"/>
      <c r="G146" s="57"/>
      <c r="H146" s="57"/>
      <c r="I146" s="57"/>
      <c r="J146" s="57"/>
      <c r="K146" s="57"/>
      <c r="L146" s="57"/>
      <c r="M146" s="37"/>
      <c r="N146" s="37"/>
      <c r="O146" s="37"/>
      <c r="P146" s="37"/>
      <c r="Q146" s="37"/>
      <c r="R146" s="37"/>
      <c r="S146" s="37"/>
      <c r="T146" s="37"/>
      <c r="U146" s="37"/>
      <c r="V146" s="37"/>
      <c r="W146" s="37"/>
    </row>
    <row r="147" spans="1:23" customFormat="1" ht="15.75" customHeight="1">
      <c r="A147" s="57"/>
      <c r="B147" s="57"/>
      <c r="C147" s="57"/>
      <c r="D147" s="57"/>
      <c r="E147" s="57"/>
      <c r="F147" s="57"/>
      <c r="G147" s="57"/>
      <c r="H147" s="57"/>
      <c r="I147" s="57"/>
      <c r="J147" s="57"/>
      <c r="K147" s="57"/>
      <c r="L147" s="57"/>
      <c r="M147" s="37"/>
      <c r="N147" s="37"/>
      <c r="O147" s="37"/>
      <c r="P147" s="37"/>
      <c r="Q147" s="37"/>
      <c r="R147" s="37"/>
      <c r="S147" s="37"/>
      <c r="T147" s="37"/>
      <c r="U147" s="37"/>
      <c r="V147" s="37"/>
      <c r="W147" s="37"/>
    </row>
    <row r="148" spans="1:23" customFormat="1" ht="15.75" customHeight="1">
      <c r="A148" s="57"/>
      <c r="B148" s="57"/>
      <c r="C148" s="57"/>
      <c r="D148" s="57"/>
      <c r="E148" s="57"/>
      <c r="F148" s="57"/>
      <c r="G148" s="57"/>
      <c r="H148" s="57"/>
      <c r="I148" s="57"/>
      <c r="J148" s="57"/>
      <c r="K148" s="57"/>
      <c r="L148" s="57"/>
      <c r="M148" s="37"/>
      <c r="N148" s="37"/>
      <c r="O148" s="37"/>
      <c r="P148" s="37"/>
      <c r="Q148" s="37"/>
      <c r="R148" s="37"/>
      <c r="S148" s="37"/>
      <c r="T148" s="37"/>
      <c r="U148" s="37"/>
      <c r="V148" s="37"/>
      <c r="W148" s="37"/>
    </row>
    <row r="149" spans="1:23" customFormat="1" ht="15.75" customHeight="1">
      <c r="A149" s="57"/>
      <c r="B149" s="57"/>
      <c r="C149" s="57"/>
      <c r="D149" s="57"/>
      <c r="E149" s="57"/>
      <c r="F149" s="57"/>
      <c r="G149" s="57"/>
      <c r="H149" s="57"/>
      <c r="I149" s="57"/>
      <c r="J149" s="57"/>
      <c r="K149" s="57"/>
      <c r="L149" s="57"/>
      <c r="M149" s="37"/>
      <c r="N149" s="37"/>
      <c r="O149" s="37"/>
      <c r="P149" s="37"/>
      <c r="Q149" s="37"/>
      <c r="R149" s="37"/>
      <c r="S149" s="37"/>
      <c r="T149" s="37"/>
      <c r="U149" s="37"/>
      <c r="V149" s="37"/>
      <c r="W149" s="37"/>
    </row>
    <row r="150" spans="1:23" customFormat="1" ht="15.75" customHeight="1">
      <c r="A150" s="57"/>
      <c r="B150" s="57"/>
      <c r="C150" s="57"/>
      <c r="D150" s="57"/>
      <c r="E150" s="57"/>
      <c r="F150" s="57"/>
      <c r="G150" s="57"/>
      <c r="H150" s="57"/>
      <c r="I150" s="57"/>
      <c r="J150" s="57"/>
      <c r="K150" s="57"/>
      <c r="L150" s="57"/>
      <c r="M150" s="37"/>
      <c r="N150" s="37"/>
      <c r="O150" s="37"/>
      <c r="P150" s="37"/>
      <c r="Q150" s="37"/>
      <c r="R150" s="37"/>
      <c r="S150" s="37"/>
      <c r="T150" s="37"/>
      <c r="U150" s="37"/>
      <c r="V150" s="37"/>
      <c r="W150" s="37"/>
    </row>
    <row r="151" spans="1:23" customFormat="1" ht="15.75" customHeight="1">
      <c r="A151" s="57"/>
      <c r="B151" s="57"/>
      <c r="C151" s="57"/>
      <c r="D151" s="57"/>
      <c r="E151" s="57"/>
      <c r="F151" s="57"/>
      <c r="G151" s="57"/>
      <c r="H151" s="57"/>
      <c r="I151" s="57"/>
      <c r="J151" s="57"/>
      <c r="K151" s="57"/>
      <c r="L151" s="57"/>
      <c r="M151" s="37"/>
      <c r="N151" s="37"/>
      <c r="O151" s="37"/>
      <c r="P151" s="37"/>
      <c r="Q151" s="37"/>
      <c r="R151" s="37"/>
      <c r="S151" s="37"/>
      <c r="T151" s="37"/>
      <c r="U151" s="37"/>
      <c r="V151" s="37"/>
      <c r="W151" s="37"/>
    </row>
    <row r="152" spans="1:23" customFormat="1" ht="15.75" customHeight="1">
      <c r="A152" s="57"/>
      <c r="B152" s="57"/>
      <c r="C152" s="57"/>
      <c r="D152" s="57"/>
      <c r="E152" s="57"/>
      <c r="F152" s="57"/>
      <c r="G152" s="57"/>
      <c r="H152" s="57"/>
      <c r="I152" s="57"/>
      <c r="J152" s="57"/>
      <c r="K152" s="57"/>
      <c r="L152" s="57"/>
      <c r="M152" s="37"/>
      <c r="N152" s="37"/>
      <c r="O152" s="37"/>
      <c r="P152" s="37"/>
      <c r="Q152" s="37"/>
      <c r="R152" s="37"/>
      <c r="S152" s="37"/>
      <c r="T152" s="37"/>
      <c r="U152" s="37"/>
      <c r="V152" s="37"/>
      <c r="W152" s="37"/>
    </row>
    <row r="153" spans="1:23" customFormat="1" ht="15.75" customHeight="1">
      <c r="A153" s="57"/>
      <c r="B153" s="57"/>
      <c r="C153" s="57"/>
      <c r="D153" s="57"/>
      <c r="E153" s="57"/>
      <c r="F153" s="57"/>
      <c r="G153" s="57"/>
      <c r="H153" s="57"/>
      <c r="I153" s="57"/>
      <c r="J153" s="57"/>
      <c r="K153" s="57"/>
      <c r="L153" s="57"/>
      <c r="M153" s="37"/>
      <c r="N153" s="37"/>
      <c r="O153" s="37"/>
      <c r="P153" s="37"/>
      <c r="Q153" s="37"/>
      <c r="R153" s="37"/>
      <c r="S153" s="37"/>
      <c r="T153" s="37"/>
      <c r="U153" s="37"/>
      <c r="V153" s="37"/>
      <c r="W153" s="37"/>
    </row>
    <row r="154" spans="1:23" customFormat="1" ht="15.75" customHeight="1">
      <c r="A154" s="57"/>
      <c r="B154" s="57"/>
      <c r="C154" s="57"/>
      <c r="D154" s="57"/>
      <c r="E154" s="57"/>
      <c r="F154" s="57"/>
      <c r="G154" s="57"/>
      <c r="H154" s="57"/>
      <c r="I154" s="57"/>
      <c r="J154" s="57"/>
      <c r="K154" s="57"/>
      <c r="L154" s="57"/>
      <c r="M154" s="37"/>
      <c r="N154" s="37"/>
      <c r="O154" s="37"/>
      <c r="P154" s="37"/>
      <c r="Q154" s="37"/>
      <c r="R154" s="37"/>
      <c r="S154" s="37"/>
      <c r="T154" s="37"/>
      <c r="U154" s="37"/>
      <c r="V154" s="37"/>
      <c r="W154" s="37"/>
    </row>
    <row r="155" spans="1:23" customFormat="1" ht="15.75" customHeight="1">
      <c r="A155" s="57"/>
      <c r="B155" s="57"/>
      <c r="C155" s="57"/>
      <c r="D155" s="57"/>
      <c r="E155" s="57"/>
      <c r="F155" s="57"/>
      <c r="G155" s="57"/>
      <c r="H155" s="57"/>
      <c r="I155" s="57"/>
      <c r="J155" s="57"/>
      <c r="K155" s="57"/>
      <c r="L155" s="57"/>
      <c r="M155" s="37"/>
      <c r="N155" s="37"/>
      <c r="O155" s="37"/>
      <c r="P155" s="37"/>
      <c r="Q155" s="37"/>
      <c r="R155" s="37"/>
      <c r="S155" s="37"/>
      <c r="T155" s="37"/>
      <c r="U155" s="37"/>
      <c r="V155" s="37"/>
      <c r="W155" s="37"/>
    </row>
    <row r="156" spans="1:23" customFormat="1" ht="15.75" customHeight="1">
      <c r="A156" s="57"/>
      <c r="B156" s="57"/>
      <c r="C156" s="57"/>
      <c r="D156" s="57"/>
      <c r="E156" s="57"/>
      <c r="F156" s="57"/>
      <c r="G156" s="57"/>
      <c r="H156" s="57"/>
      <c r="I156" s="57"/>
      <c r="J156" s="57"/>
      <c r="K156" s="57"/>
      <c r="L156" s="57"/>
      <c r="M156" s="37"/>
      <c r="N156" s="37"/>
      <c r="O156" s="37"/>
      <c r="P156" s="37"/>
      <c r="Q156" s="37"/>
      <c r="R156" s="37"/>
      <c r="S156" s="37"/>
      <c r="T156" s="37"/>
      <c r="U156" s="37"/>
      <c r="V156" s="37"/>
      <c r="W156" s="37"/>
    </row>
    <row r="157" spans="1:23" customFormat="1" ht="15.75" customHeight="1">
      <c r="A157" s="57"/>
      <c r="B157" s="57"/>
      <c r="C157" s="57"/>
      <c r="D157" s="57"/>
      <c r="E157" s="57"/>
      <c r="F157" s="57"/>
      <c r="G157" s="57"/>
      <c r="H157" s="57"/>
      <c r="I157" s="57"/>
      <c r="J157" s="57"/>
      <c r="K157" s="57"/>
      <c r="L157" s="57"/>
      <c r="M157" s="37"/>
      <c r="N157" s="37"/>
      <c r="O157" s="37"/>
      <c r="P157" s="37"/>
      <c r="Q157" s="37"/>
      <c r="R157" s="37"/>
      <c r="S157" s="37"/>
      <c r="T157" s="37"/>
      <c r="U157" s="37"/>
      <c r="V157" s="37"/>
      <c r="W157" s="37"/>
    </row>
    <row r="158" spans="1:23" customFormat="1" ht="15.75" customHeight="1">
      <c r="A158" s="57"/>
      <c r="B158" s="57"/>
      <c r="C158" s="57"/>
      <c r="D158" s="57"/>
      <c r="E158" s="57"/>
      <c r="F158" s="57"/>
      <c r="G158" s="57"/>
      <c r="H158" s="57"/>
      <c r="I158" s="57"/>
      <c r="J158" s="57"/>
      <c r="K158" s="57"/>
      <c r="L158" s="57"/>
      <c r="M158" s="37"/>
      <c r="N158" s="37"/>
      <c r="O158" s="37"/>
      <c r="P158" s="37"/>
      <c r="Q158" s="37"/>
      <c r="R158" s="37"/>
      <c r="S158" s="37"/>
      <c r="T158" s="37"/>
      <c r="U158" s="37"/>
      <c r="V158" s="37"/>
      <c r="W158" s="37"/>
    </row>
    <row r="159" spans="1:23" customFormat="1" ht="15.75" customHeight="1">
      <c r="A159" s="57"/>
      <c r="B159" s="57"/>
      <c r="C159" s="57"/>
      <c r="D159" s="57"/>
      <c r="E159" s="57"/>
      <c r="F159" s="57"/>
      <c r="G159" s="57"/>
      <c r="H159" s="57"/>
      <c r="I159" s="57"/>
      <c r="J159" s="57"/>
      <c r="K159" s="57"/>
      <c r="L159" s="57"/>
      <c r="M159" s="37"/>
      <c r="N159" s="37"/>
      <c r="O159" s="37"/>
      <c r="P159" s="37"/>
      <c r="Q159" s="37"/>
      <c r="R159" s="37"/>
      <c r="S159" s="37"/>
      <c r="T159" s="37"/>
      <c r="U159" s="37"/>
      <c r="V159" s="37"/>
      <c r="W159" s="37"/>
    </row>
    <row r="160" spans="1:23" customFormat="1" ht="15.75" customHeight="1">
      <c r="A160" s="57"/>
      <c r="B160" s="57"/>
      <c r="C160" s="57"/>
      <c r="D160" s="57"/>
      <c r="E160" s="57"/>
      <c r="F160" s="57"/>
      <c r="G160" s="57"/>
      <c r="H160" s="57"/>
      <c r="I160" s="57"/>
      <c r="J160" s="57"/>
      <c r="K160" s="57"/>
      <c r="L160" s="57"/>
      <c r="M160" s="37"/>
      <c r="N160" s="37"/>
      <c r="O160" s="37"/>
      <c r="P160" s="37"/>
      <c r="Q160" s="37"/>
      <c r="R160" s="37"/>
      <c r="S160" s="37"/>
      <c r="T160" s="37"/>
      <c r="U160" s="37"/>
      <c r="V160" s="37"/>
      <c r="W160" s="37"/>
    </row>
    <row r="161" spans="1:23" customFormat="1" ht="15.75" customHeight="1">
      <c r="A161" s="57"/>
      <c r="B161" s="57"/>
      <c r="C161" s="57"/>
      <c r="D161" s="57"/>
      <c r="E161" s="57"/>
      <c r="F161" s="57"/>
      <c r="G161" s="57"/>
      <c r="H161" s="57"/>
      <c r="I161" s="57"/>
      <c r="J161" s="57"/>
      <c r="K161" s="57"/>
      <c r="L161" s="57"/>
      <c r="M161" s="37"/>
      <c r="N161" s="37"/>
      <c r="O161" s="37"/>
      <c r="P161" s="37"/>
      <c r="Q161" s="37"/>
      <c r="R161" s="37"/>
      <c r="S161" s="37"/>
      <c r="T161" s="37"/>
      <c r="U161" s="37"/>
      <c r="V161" s="37"/>
      <c r="W161" s="37"/>
    </row>
    <row r="162" spans="1:23" customFormat="1" ht="15.75" customHeight="1">
      <c r="A162" s="57"/>
      <c r="B162" s="57"/>
      <c r="C162" s="57"/>
      <c r="D162" s="57"/>
      <c r="E162" s="57"/>
      <c r="F162" s="57"/>
      <c r="G162" s="57"/>
      <c r="H162" s="57"/>
      <c r="I162" s="57"/>
      <c r="J162" s="57"/>
      <c r="K162" s="57"/>
      <c r="L162" s="57"/>
      <c r="M162" s="37"/>
      <c r="N162" s="37"/>
      <c r="O162" s="37"/>
      <c r="P162" s="37"/>
      <c r="Q162" s="37"/>
      <c r="R162" s="37"/>
      <c r="S162" s="37"/>
      <c r="T162" s="37"/>
      <c r="U162" s="37"/>
      <c r="V162" s="37"/>
      <c r="W162" s="37"/>
    </row>
    <row r="163" spans="1:23" customFormat="1" ht="15.75" customHeight="1">
      <c r="A163" s="57"/>
      <c r="B163" s="57"/>
      <c r="C163" s="57"/>
      <c r="D163" s="57"/>
      <c r="E163" s="57"/>
      <c r="F163" s="57"/>
      <c r="G163" s="57"/>
      <c r="H163" s="57"/>
      <c r="I163" s="57"/>
      <c r="J163" s="57"/>
      <c r="K163" s="57"/>
      <c r="L163" s="57"/>
      <c r="M163" s="37"/>
      <c r="N163" s="37"/>
      <c r="O163" s="37"/>
      <c r="P163" s="37"/>
      <c r="Q163" s="37"/>
      <c r="R163" s="37"/>
      <c r="S163" s="37"/>
      <c r="T163" s="37"/>
      <c r="U163" s="37"/>
      <c r="V163" s="37"/>
      <c r="W163" s="37"/>
    </row>
    <row r="164" spans="1:23" customFormat="1" ht="15.75" customHeight="1">
      <c r="A164" s="57"/>
      <c r="B164" s="57"/>
      <c r="C164" s="57"/>
      <c r="D164" s="57"/>
      <c r="E164" s="57"/>
      <c r="F164" s="57"/>
      <c r="G164" s="57"/>
      <c r="H164" s="57"/>
      <c r="I164" s="57"/>
      <c r="J164" s="57"/>
      <c r="K164" s="57"/>
      <c r="L164" s="57"/>
      <c r="M164" s="37"/>
      <c r="N164" s="37"/>
      <c r="O164" s="37"/>
      <c r="P164" s="37"/>
      <c r="Q164" s="37"/>
      <c r="R164" s="37"/>
      <c r="S164" s="37"/>
      <c r="T164" s="37"/>
      <c r="U164" s="37"/>
      <c r="V164" s="37"/>
      <c r="W164" s="37"/>
    </row>
    <row r="165" spans="1:23" customFormat="1" ht="15.75" customHeight="1">
      <c r="A165" s="57"/>
      <c r="B165" s="57"/>
      <c r="C165" s="57"/>
      <c r="D165" s="57"/>
      <c r="E165" s="57"/>
      <c r="F165" s="57"/>
      <c r="G165" s="57"/>
      <c r="H165" s="57"/>
      <c r="I165" s="57"/>
      <c r="J165" s="57"/>
      <c r="K165" s="57"/>
      <c r="L165" s="57"/>
      <c r="M165" s="37"/>
      <c r="N165" s="37"/>
      <c r="O165" s="37"/>
      <c r="P165" s="37"/>
      <c r="Q165" s="37"/>
      <c r="R165" s="37"/>
      <c r="S165" s="37"/>
      <c r="T165" s="37"/>
      <c r="U165" s="37"/>
      <c r="V165" s="37"/>
      <c r="W165" s="37"/>
    </row>
    <row r="166" spans="1:23" customFormat="1" ht="15.75" customHeight="1">
      <c r="A166" s="57"/>
      <c r="B166" s="57"/>
      <c r="C166" s="57"/>
      <c r="D166" s="57"/>
      <c r="E166" s="57"/>
      <c r="F166" s="57"/>
      <c r="G166" s="57"/>
      <c r="H166" s="57"/>
      <c r="I166" s="57"/>
      <c r="J166" s="57"/>
      <c r="K166" s="57"/>
      <c r="L166" s="57"/>
      <c r="M166" s="37"/>
      <c r="N166" s="37"/>
      <c r="O166" s="37"/>
      <c r="P166" s="37"/>
      <c r="Q166" s="37"/>
      <c r="R166" s="37"/>
      <c r="S166" s="37"/>
      <c r="T166" s="37"/>
      <c r="U166" s="37"/>
      <c r="V166" s="37"/>
      <c r="W166" s="37"/>
    </row>
    <row r="167" spans="1:23" customFormat="1" ht="15.75" customHeight="1">
      <c r="A167" s="57"/>
      <c r="B167" s="57"/>
      <c r="C167" s="57"/>
      <c r="D167" s="57"/>
      <c r="E167" s="57"/>
      <c r="F167" s="57"/>
      <c r="G167" s="57"/>
      <c r="H167" s="57"/>
      <c r="I167" s="57"/>
      <c r="J167" s="57"/>
      <c r="K167" s="57"/>
      <c r="L167" s="57"/>
      <c r="M167" s="37"/>
      <c r="N167" s="37"/>
      <c r="O167" s="37"/>
      <c r="P167" s="37"/>
      <c r="Q167" s="37"/>
      <c r="R167" s="37"/>
      <c r="S167" s="37"/>
      <c r="T167" s="37"/>
      <c r="U167" s="37"/>
      <c r="V167" s="37"/>
      <c r="W167" s="37"/>
    </row>
    <row r="168" spans="1:23" customFormat="1" ht="15.75" customHeight="1">
      <c r="A168" s="57"/>
      <c r="B168" s="57"/>
      <c r="C168" s="57"/>
      <c r="D168" s="57"/>
      <c r="E168" s="57"/>
      <c r="F168" s="57"/>
      <c r="G168" s="57"/>
      <c r="H168" s="57"/>
      <c r="I168" s="57"/>
      <c r="J168" s="57"/>
      <c r="K168" s="57"/>
      <c r="L168" s="57"/>
      <c r="M168" s="37"/>
      <c r="N168" s="37"/>
      <c r="O168" s="37"/>
      <c r="P168" s="37"/>
      <c r="Q168" s="37"/>
      <c r="R168" s="37"/>
      <c r="S168" s="37"/>
      <c r="T168" s="37"/>
      <c r="U168" s="37"/>
      <c r="V168" s="37"/>
      <c r="W168" s="37"/>
    </row>
    <row r="169" spans="1:23" customFormat="1" ht="15.75" customHeight="1">
      <c r="A169" s="57"/>
      <c r="B169" s="57"/>
      <c r="C169" s="57"/>
      <c r="D169" s="57"/>
      <c r="E169" s="57"/>
      <c r="F169" s="57"/>
      <c r="G169" s="57"/>
      <c r="H169" s="57"/>
      <c r="I169" s="57"/>
      <c r="J169" s="57"/>
      <c r="K169" s="57"/>
      <c r="L169" s="57"/>
      <c r="M169" s="37"/>
      <c r="N169" s="37"/>
      <c r="O169" s="37"/>
      <c r="P169" s="37"/>
      <c r="Q169" s="37"/>
      <c r="R169" s="37"/>
      <c r="S169" s="37"/>
      <c r="T169" s="37"/>
      <c r="U169" s="37"/>
      <c r="V169" s="37"/>
      <c r="W169" s="37"/>
    </row>
    <row r="170" spans="1:23" customFormat="1" ht="15.75" customHeight="1">
      <c r="A170" s="57"/>
      <c r="B170" s="57"/>
      <c r="C170" s="57"/>
      <c r="D170" s="57"/>
      <c r="E170" s="57"/>
      <c r="F170" s="57"/>
      <c r="G170" s="57"/>
      <c r="H170" s="57"/>
      <c r="I170" s="57"/>
      <c r="J170" s="57"/>
      <c r="K170" s="57"/>
      <c r="L170" s="57"/>
      <c r="M170" s="37"/>
      <c r="N170" s="37"/>
      <c r="O170" s="37"/>
      <c r="P170" s="37"/>
      <c r="Q170" s="37"/>
      <c r="R170" s="37"/>
      <c r="S170" s="37"/>
      <c r="T170" s="37"/>
      <c r="U170" s="37"/>
      <c r="V170" s="37"/>
      <c r="W170" s="37"/>
    </row>
    <row r="171" spans="1:23" customFormat="1" ht="15.75" customHeight="1">
      <c r="A171" s="57"/>
      <c r="B171" s="57"/>
      <c r="C171" s="57"/>
      <c r="D171" s="57"/>
      <c r="E171" s="57"/>
      <c r="F171" s="57"/>
      <c r="G171" s="57"/>
      <c r="H171" s="57"/>
      <c r="I171" s="57"/>
      <c r="J171" s="57"/>
      <c r="K171" s="57"/>
      <c r="L171" s="57"/>
      <c r="M171" s="37"/>
      <c r="N171" s="37"/>
      <c r="O171" s="37"/>
      <c r="P171" s="37"/>
      <c r="Q171" s="37"/>
      <c r="R171" s="37"/>
      <c r="S171" s="37"/>
      <c r="T171" s="37"/>
      <c r="U171" s="37"/>
      <c r="V171" s="37"/>
      <c r="W171" s="37"/>
    </row>
    <row r="172" spans="1:23" customFormat="1" ht="15.75" customHeight="1">
      <c r="A172" s="57"/>
      <c r="B172" s="57"/>
      <c r="C172" s="57"/>
      <c r="D172" s="57"/>
      <c r="E172" s="57"/>
      <c r="F172" s="57"/>
      <c r="G172" s="57"/>
      <c r="H172" s="57"/>
      <c r="I172" s="57"/>
      <c r="J172" s="57"/>
      <c r="K172" s="57"/>
      <c r="L172" s="57"/>
      <c r="M172" s="37"/>
      <c r="N172" s="37"/>
      <c r="O172" s="37"/>
      <c r="P172" s="37"/>
      <c r="Q172" s="37"/>
      <c r="R172" s="37"/>
      <c r="S172" s="37"/>
      <c r="T172" s="37"/>
      <c r="U172" s="37"/>
      <c r="V172" s="37"/>
      <c r="W172" s="37"/>
    </row>
    <row r="173" spans="1:23" customFormat="1" ht="15.75" customHeight="1">
      <c r="A173" s="57"/>
      <c r="B173" s="57"/>
      <c r="C173" s="57"/>
      <c r="D173" s="57"/>
      <c r="E173" s="57"/>
      <c r="F173" s="57"/>
      <c r="G173" s="57"/>
      <c r="H173" s="57"/>
      <c r="I173" s="57"/>
      <c r="J173" s="57"/>
      <c r="K173" s="57"/>
      <c r="L173" s="57"/>
      <c r="M173" s="37"/>
      <c r="N173" s="37"/>
      <c r="O173" s="37"/>
      <c r="P173" s="37"/>
      <c r="Q173" s="37"/>
      <c r="R173" s="37"/>
      <c r="S173" s="37"/>
      <c r="T173" s="37"/>
      <c r="U173" s="37"/>
      <c r="V173" s="37"/>
      <c r="W173" s="37"/>
    </row>
    <row r="174" spans="1:23" customFormat="1" ht="15.75" customHeight="1">
      <c r="A174" s="57"/>
      <c r="B174" s="57"/>
      <c r="C174" s="57"/>
      <c r="D174" s="57"/>
      <c r="E174" s="57"/>
      <c r="F174" s="57"/>
      <c r="G174" s="57"/>
      <c r="H174" s="57"/>
      <c r="I174" s="57"/>
      <c r="J174" s="57"/>
      <c r="K174" s="57"/>
      <c r="L174" s="57"/>
      <c r="M174" s="37"/>
      <c r="N174" s="37"/>
      <c r="O174" s="37"/>
      <c r="P174" s="37"/>
      <c r="Q174" s="37"/>
      <c r="R174" s="37"/>
      <c r="S174" s="37"/>
      <c r="T174" s="37"/>
      <c r="U174" s="37"/>
      <c r="V174" s="37"/>
      <c r="W174" s="37"/>
    </row>
    <row r="175" spans="1:23" customFormat="1" ht="15.75" customHeight="1">
      <c r="A175" s="57"/>
      <c r="B175" s="57"/>
      <c r="C175" s="57"/>
      <c r="D175" s="57"/>
      <c r="E175" s="57"/>
      <c r="F175" s="57"/>
      <c r="G175" s="57"/>
      <c r="H175" s="57"/>
      <c r="I175" s="57"/>
      <c r="J175" s="57"/>
      <c r="K175" s="57"/>
      <c r="L175" s="57"/>
      <c r="M175" s="37"/>
      <c r="N175" s="37"/>
      <c r="O175" s="37"/>
      <c r="P175" s="37"/>
      <c r="Q175" s="37"/>
      <c r="R175" s="37"/>
      <c r="S175" s="37"/>
      <c r="T175" s="37"/>
      <c r="U175" s="37"/>
      <c r="V175" s="37"/>
      <c r="W175" s="37"/>
    </row>
    <row r="176" spans="1:23" customFormat="1" ht="15.75" customHeight="1">
      <c r="A176" s="57"/>
      <c r="B176" s="57"/>
      <c r="C176" s="57"/>
      <c r="D176" s="57"/>
      <c r="E176" s="57"/>
      <c r="F176" s="57"/>
      <c r="G176" s="57"/>
      <c r="H176" s="57"/>
      <c r="I176" s="57"/>
      <c r="J176" s="57"/>
      <c r="K176" s="57"/>
      <c r="L176" s="57"/>
      <c r="M176" s="37"/>
      <c r="N176" s="37"/>
      <c r="O176" s="37"/>
      <c r="P176" s="37"/>
      <c r="Q176" s="37"/>
      <c r="R176" s="37"/>
      <c r="S176" s="37"/>
      <c r="T176" s="37"/>
      <c r="U176" s="37"/>
      <c r="V176" s="37"/>
      <c r="W176" s="37"/>
    </row>
    <row r="177" spans="1:23" customFormat="1" ht="15.75" customHeight="1">
      <c r="A177" s="57"/>
      <c r="B177" s="57"/>
      <c r="C177" s="57"/>
      <c r="D177" s="57"/>
      <c r="E177" s="57"/>
      <c r="F177" s="57"/>
      <c r="G177" s="57"/>
      <c r="H177" s="57"/>
      <c r="I177" s="57"/>
      <c r="J177" s="57"/>
      <c r="K177" s="57"/>
      <c r="L177" s="57"/>
      <c r="M177" s="37"/>
      <c r="N177" s="37"/>
      <c r="O177" s="37"/>
      <c r="P177" s="37"/>
      <c r="Q177" s="37"/>
      <c r="R177" s="37"/>
      <c r="S177" s="37"/>
      <c r="T177" s="37"/>
      <c r="U177" s="37"/>
      <c r="V177" s="37"/>
      <c r="W177" s="37"/>
    </row>
    <row r="178" spans="1:23" customFormat="1" ht="15.75" customHeight="1">
      <c r="A178" s="57"/>
      <c r="B178" s="57"/>
      <c r="C178" s="57"/>
      <c r="D178" s="57"/>
      <c r="E178" s="57"/>
      <c r="F178" s="57"/>
      <c r="G178" s="57"/>
      <c r="H178" s="57"/>
      <c r="I178" s="57"/>
      <c r="J178" s="57"/>
      <c r="K178" s="57"/>
      <c r="L178" s="57"/>
      <c r="M178" s="37"/>
      <c r="N178" s="37"/>
      <c r="O178" s="37"/>
      <c r="P178" s="37"/>
      <c r="Q178" s="37"/>
      <c r="R178" s="37"/>
      <c r="S178" s="37"/>
      <c r="T178" s="37"/>
      <c r="U178" s="37"/>
      <c r="V178" s="37"/>
      <c r="W178" s="37"/>
    </row>
    <row r="179" spans="1:23" customFormat="1" ht="15.75" customHeight="1">
      <c r="A179" s="57"/>
      <c r="B179" s="57"/>
      <c r="C179" s="57"/>
      <c r="D179" s="57"/>
      <c r="E179" s="57"/>
      <c r="F179" s="57"/>
      <c r="G179" s="57"/>
      <c r="H179" s="57"/>
      <c r="I179" s="57"/>
      <c r="J179" s="57"/>
      <c r="K179" s="57"/>
      <c r="L179" s="57"/>
      <c r="M179" s="37"/>
      <c r="N179" s="37"/>
      <c r="O179" s="37"/>
      <c r="P179" s="37"/>
      <c r="Q179" s="37"/>
      <c r="R179" s="37"/>
      <c r="S179" s="37"/>
      <c r="T179" s="37"/>
      <c r="U179" s="37"/>
      <c r="V179" s="37"/>
      <c r="W179" s="37"/>
    </row>
    <row r="180" spans="1:23" customFormat="1" ht="15.75" customHeight="1">
      <c r="A180" s="57"/>
      <c r="B180" s="57"/>
      <c r="C180" s="57"/>
      <c r="D180" s="57"/>
      <c r="E180" s="57"/>
      <c r="F180" s="57"/>
      <c r="G180" s="57"/>
      <c r="H180" s="57"/>
      <c r="I180" s="57"/>
      <c r="J180" s="57"/>
      <c r="K180" s="57"/>
      <c r="L180" s="57"/>
      <c r="M180" s="37"/>
      <c r="N180" s="37"/>
      <c r="O180" s="37"/>
      <c r="P180" s="37"/>
      <c r="Q180" s="37"/>
      <c r="R180" s="37"/>
      <c r="S180" s="37"/>
      <c r="T180" s="37"/>
      <c r="U180" s="37"/>
      <c r="V180" s="37"/>
      <c r="W180" s="37"/>
    </row>
    <row r="181" spans="1:23" customFormat="1" ht="15.75" customHeight="1">
      <c r="A181" s="57"/>
      <c r="B181" s="57"/>
      <c r="C181" s="57"/>
      <c r="D181" s="57"/>
      <c r="E181" s="57"/>
      <c r="F181" s="57"/>
      <c r="G181" s="57"/>
      <c r="H181" s="57"/>
      <c r="I181" s="57"/>
      <c r="J181" s="57"/>
      <c r="K181" s="57"/>
      <c r="L181" s="57"/>
      <c r="M181" s="37"/>
      <c r="N181" s="37"/>
      <c r="O181" s="37"/>
      <c r="P181" s="37"/>
      <c r="Q181" s="37"/>
      <c r="R181" s="37"/>
      <c r="S181" s="37"/>
      <c r="T181" s="37"/>
      <c r="U181" s="37"/>
      <c r="V181" s="37"/>
      <c r="W181" s="37"/>
    </row>
    <row r="182" spans="1:23" customFormat="1" ht="15.75" customHeight="1">
      <c r="A182" s="57"/>
      <c r="B182" s="57"/>
      <c r="C182" s="57"/>
      <c r="D182" s="57"/>
      <c r="E182" s="57"/>
      <c r="F182" s="57"/>
      <c r="G182" s="57"/>
      <c r="H182" s="57"/>
      <c r="I182" s="57"/>
      <c r="J182" s="57"/>
      <c r="K182" s="57"/>
      <c r="L182" s="57"/>
      <c r="M182" s="37"/>
      <c r="N182" s="37"/>
      <c r="O182" s="37"/>
      <c r="P182" s="37"/>
      <c r="Q182" s="37"/>
      <c r="R182" s="37"/>
      <c r="S182" s="37"/>
      <c r="T182" s="37"/>
      <c r="U182" s="37"/>
      <c r="V182" s="37"/>
      <c r="W182" s="37"/>
    </row>
    <row r="183" spans="1:23" customFormat="1" ht="15.75" customHeight="1">
      <c r="A183" s="57"/>
      <c r="B183" s="57"/>
      <c r="C183" s="57"/>
      <c r="D183" s="57"/>
      <c r="E183" s="57"/>
      <c r="F183" s="57"/>
      <c r="G183" s="57"/>
      <c r="H183" s="57"/>
      <c r="I183" s="57"/>
      <c r="J183" s="57"/>
      <c r="K183" s="57"/>
      <c r="L183" s="57"/>
      <c r="M183" s="37"/>
      <c r="N183" s="37"/>
      <c r="O183" s="37"/>
      <c r="P183" s="37"/>
      <c r="Q183" s="37"/>
      <c r="R183" s="37"/>
      <c r="S183" s="37"/>
      <c r="T183" s="37"/>
      <c r="U183" s="37"/>
      <c r="V183" s="37"/>
      <c r="W183" s="37"/>
    </row>
    <row r="184" spans="1:23" customFormat="1" ht="15.75" customHeight="1">
      <c r="A184" s="57"/>
      <c r="B184" s="57"/>
      <c r="C184" s="57"/>
      <c r="D184" s="57"/>
      <c r="E184" s="57"/>
      <c r="F184" s="57"/>
      <c r="G184" s="57"/>
      <c r="H184" s="57"/>
      <c r="I184" s="57"/>
      <c r="J184" s="57"/>
      <c r="K184" s="57"/>
      <c r="L184" s="57"/>
      <c r="M184" s="37"/>
      <c r="N184" s="37"/>
      <c r="O184" s="37"/>
      <c r="P184" s="37"/>
      <c r="Q184" s="37"/>
      <c r="R184" s="37"/>
      <c r="S184" s="37"/>
      <c r="T184" s="37"/>
      <c r="U184" s="37"/>
      <c r="V184" s="37"/>
      <c r="W184" s="37"/>
    </row>
    <row r="185" spans="1:23" customFormat="1" ht="15.75" customHeight="1">
      <c r="A185" s="57"/>
      <c r="B185" s="57"/>
      <c r="C185" s="57"/>
      <c r="D185" s="57"/>
      <c r="E185" s="57"/>
      <c r="F185" s="57"/>
      <c r="G185" s="57"/>
      <c r="H185" s="57"/>
      <c r="I185" s="57"/>
      <c r="J185" s="57"/>
      <c r="K185" s="57"/>
      <c r="L185" s="57"/>
      <c r="M185" s="37"/>
      <c r="N185" s="37"/>
      <c r="O185" s="37"/>
      <c r="P185" s="37"/>
      <c r="Q185" s="37"/>
      <c r="R185" s="37"/>
      <c r="S185" s="37"/>
      <c r="T185" s="37"/>
      <c r="U185" s="37"/>
      <c r="V185" s="37"/>
      <c r="W185" s="37"/>
    </row>
    <row r="186" spans="1:23" customFormat="1" ht="15.75" customHeight="1">
      <c r="A186" s="57"/>
      <c r="B186" s="57"/>
      <c r="C186" s="57"/>
      <c r="D186" s="57"/>
      <c r="E186" s="57"/>
      <c r="F186" s="57"/>
      <c r="G186" s="57"/>
      <c r="H186" s="57"/>
      <c r="I186" s="57"/>
      <c r="J186" s="57"/>
      <c r="K186" s="57"/>
      <c r="L186" s="57"/>
      <c r="M186" s="37"/>
      <c r="N186" s="37"/>
      <c r="O186" s="37"/>
      <c r="P186" s="37"/>
      <c r="Q186" s="37"/>
      <c r="R186" s="37"/>
      <c r="S186" s="37"/>
      <c r="T186" s="37"/>
      <c r="U186" s="37"/>
      <c r="V186" s="37"/>
      <c r="W186" s="37"/>
    </row>
    <row r="187" spans="1:23" customFormat="1" ht="15.75" customHeight="1">
      <c r="A187" s="57"/>
      <c r="B187" s="57"/>
      <c r="C187" s="57"/>
      <c r="D187" s="57"/>
      <c r="E187" s="57"/>
      <c r="F187" s="57"/>
      <c r="G187" s="57"/>
      <c r="H187" s="57"/>
      <c r="I187" s="57"/>
      <c r="J187" s="57"/>
      <c r="K187" s="57"/>
      <c r="L187" s="57"/>
      <c r="M187" s="37"/>
      <c r="N187" s="37"/>
      <c r="O187" s="37"/>
      <c r="P187" s="37"/>
      <c r="Q187" s="37"/>
      <c r="R187" s="37"/>
      <c r="S187" s="37"/>
      <c r="T187" s="37"/>
      <c r="U187" s="37"/>
      <c r="V187" s="37"/>
      <c r="W187" s="37"/>
    </row>
    <row r="188" spans="1:23" customFormat="1" ht="15.75" customHeight="1">
      <c r="A188" s="57"/>
      <c r="B188" s="57"/>
      <c r="C188" s="57"/>
      <c r="D188" s="57"/>
      <c r="E188" s="57"/>
      <c r="F188" s="57"/>
      <c r="G188" s="57"/>
      <c r="H188" s="57"/>
      <c r="I188" s="57"/>
      <c r="J188" s="57"/>
      <c r="K188" s="57"/>
      <c r="L188" s="57"/>
      <c r="M188" s="37"/>
      <c r="N188" s="37"/>
      <c r="O188" s="37"/>
      <c r="P188" s="37"/>
      <c r="Q188" s="37"/>
      <c r="R188" s="37"/>
      <c r="S188" s="37"/>
      <c r="T188" s="37"/>
      <c r="U188" s="37"/>
      <c r="V188" s="37"/>
      <c r="W188" s="37"/>
    </row>
    <row r="189" spans="1:23" customFormat="1" ht="15.75" customHeight="1">
      <c r="A189" s="57"/>
      <c r="B189" s="57"/>
      <c r="C189" s="57"/>
      <c r="D189" s="57"/>
      <c r="E189" s="57"/>
      <c r="F189" s="57"/>
      <c r="G189" s="57"/>
      <c r="H189" s="57"/>
      <c r="I189" s="57"/>
      <c r="J189" s="57"/>
      <c r="K189" s="57"/>
      <c r="L189" s="57"/>
      <c r="M189" s="37"/>
      <c r="N189" s="37"/>
      <c r="O189" s="37"/>
      <c r="P189" s="37"/>
      <c r="Q189" s="37"/>
      <c r="R189" s="37"/>
      <c r="S189" s="37"/>
      <c r="T189" s="37"/>
      <c r="U189" s="37"/>
      <c r="V189" s="37"/>
      <c r="W189" s="37"/>
    </row>
    <row r="190" spans="1:23" customFormat="1" ht="15.75" customHeight="1">
      <c r="A190" s="57"/>
      <c r="B190" s="57"/>
      <c r="C190" s="57"/>
      <c r="D190" s="57"/>
      <c r="E190" s="57"/>
      <c r="F190" s="57"/>
      <c r="G190" s="57"/>
      <c r="H190" s="57"/>
      <c r="I190" s="57"/>
      <c r="J190" s="57"/>
      <c r="K190" s="57"/>
      <c r="L190" s="57"/>
      <c r="M190" s="37"/>
      <c r="N190" s="37"/>
      <c r="O190" s="37"/>
      <c r="P190" s="37"/>
      <c r="Q190" s="37"/>
      <c r="R190" s="37"/>
      <c r="S190" s="37"/>
      <c r="T190" s="37"/>
      <c r="U190" s="37"/>
      <c r="V190" s="37"/>
      <c r="W190" s="37"/>
    </row>
    <row r="191" spans="1:23" customFormat="1" ht="15.75" customHeight="1">
      <c r="A191" s="57"/>
      <c r="B191" s="57"/>
      <c r="C191" s="57"/>
      <c r="D191" s="57"/>
      <c r="E191" s="57"/>
      <c r="F191" s="57"/>
      <c r="G191" s="57"/>
      <c r="H191" s="57"/>
      <c r="I191" s="57"/>
      <c r="J191" s="57"/>
      <c r="K191" s="57"/>
      <c r="L191" s="57"/>
      <c r="M191" s="37"/>
      <c r="N191" s="37"/>
      <c r="O191" s="37"/>
      <c r="P191" s="37"/>
      <c r="Q191" s="37"/>
      <c r="R191" s="37"/>
      <c r="S191" s="37"/>
      <c r="T191" s="37"/>
      <c r="U191" s="37"/>
      <c r="V191" s="37"/>
      <c r="W191" s="37"/>
    </row>
    <row r="192" spans="1:23" customFormat="1" ht="15.75" customHeight="1">
      <c r="A192" s="57"/>
      <c r="B192" s="57"/>
      <c r="C192" s="57"/>
      <c r="D192" s="57"/>
      <c r="E192" s="57"/>
      <c r="F192" s="57"/>
      <c r="G192" s="57"/>
      <c r="H192" s="57"/>
      <c r="I192" s="57"/>
      <c r="J192" s="57"/>
      <c r="K192" s="57"/>
      <c r="L192" s="57"/>
      <c r="M192" s="37"/>
      <c r="N192" s="37"/>
      <c r="O192" s="37"/>
      <c r="P192" s="37"/>
      <c r="Q192" s="37"/>
      <c r="R192" s="37"/>
      <c r="S192" s="37"/>
      <c r="T192" s="37"/>
      <c r="U192" s="37"/>
      <c r="V192" s="37"/>
      <c r="W192" s="37"/>
    </row>
    <row r="193" spans="1:23" customFormat="1" ht="15.75" customHeight="1">
      <c r="A193" s="57"/>
      <c r="B193" s="57"/>
      <c r="C193" s="57"/>
      <c r="D193" s="57"/>
      <c r="E193" s="57"/>
      <c r="F193" s="57"/>
      <c r="G193" s="57"/>
      <c r="H193" s="57"/>
      <c r="I193" s="57"/>
      <c r="J193" s="57"/>
      <c r="K193" s="57"/>
      <c r="L193" s="57"/>
      <c r="M193" s="37"/>
      <c r="N193" s="37"/>
      <c r="O193" s="37"/>
      <c r="P193" s="37"/>
      <c r="Q193" s="37"/>
      <c r="R193" s="37"/>
      <c r="S193" s="37"/>
      <c r="T193" s="37"/>
      <c r="U193" s="37"/>
      <c r="V193" s="37"/>
      <c r="W193" s="37"/>
    </row>
    <row r="194" spans="1:23" customFormat="1" ht="15.75" customHeight="1">
      <c r="A194" s="57"/>
      <c r="B194" s="57"/>
      <c r="C194" s="57"/>
      <c r="D194" s="57"/>
      <c r="E194" s="57"/>
      <c r="F194" s="57"/>
      <c r="G194" s="57"/>
      <c r="H194" s="57"/>
      <c r="I194" s="57"/>
      <c r="J194" s="57"/>
      <c r="K194" s="57"/>
      <c r="L194" s="57"/>
      <c r="M194" s="37"/>
      <c r="N194" s="37"/>
      <c r="O194" s="37"/>
      <c r="P194" s="37"/>
      <c r="Q194" s="37"/>
      <c r="R194" s="37"/>
      <c r="S194" s="37"/>
      <c r="T194" s="37"/>
      <c r="U194" s="37"/>
      <c r="V194" s="37"/>
      <c r="W194" s="37"/>
    </row>
    <row r="195" spans="1:23" ht="15.75" customHeight="1">
      <c r="A195" s="57"/>
      <c r="B195" s="57"/>
      <c r="C195" s="57"/>
      <c r="D195" s="57"/>
      <c r="E195" s="57"/>
      <c r="F195" s="57"/>
      <c r="G195" s="57"/>
      <c r="H195" s="57"/>
      <c r="I195" s="57"/>
      <c r="J195" s="57"/>
      <c r="K195" s="57"/>
      <c r="L195" s="57"/>
    </row>
    <row r="196" spans="1:23" ht="15.75" customHeight="1">
      <c r="A196" s="57"/>
      <c r="B196" s="57"/>
      <c r="C196" s="57"/>
      <c r="D196" s="57"/>
      <c r="E196" s="57"/>
      <c r="F196" s="57"/>
      <c r="G196" s="57"/>
      <c r="H196" s="57"/>
      <c r="I196" s="57"/>
      <c r="J196" s="57"/>
      <c r="K196" s="57"/>
      <c r="L196" s="57"/>
    </row>
    <row r="197" spans="1:23" ht="15.75" customHeight="1">
      <c r="A197" s="57"/>
      <c r="B197" s="57"/>
      <c r="C197" s="57"/>
      <c r="D197" s="57"/>
      <c r="E197" s="57"/>
      <c r="F197" s="57"/>
      <c r="G197" s="57"/>
      <c r="H197" s="57"/>
      <c r="I197" s="57"/>
      <c r="J197" s="57"/>
      <c r="K197" s="57"/>
      <c r="L197" s="57"/>
    </row>
    <row r="198" spans="1:23" ht="15.75" customHeight="1">
      <c r="A198" s="57"/>
      <c r="B198" s="57"/>
      <c r="C198" s="57"/>
      <c r="D198" s="57"/>
      <c r="E198" s="57"/>
      <c r="F198" s="57"/>
      <c r="G198" s="57"/>
      <c r="H198" s="57"/>
      <c r="I198" s="57"/>
      <c r="J198" s="57"/>
      <c r="K198" s="57"/>
      <c r="L198" s="57"/>
    </row>
  </sheetData>
  <mergeCells count="3">
    <mergeCell ref="A3:L3"/>
    <mergeCell ref="A4:L4"/>
    <mergeCell ref="B18:D18"/>
  </mergeCells>
  <pageMargins left="0.7" right="0.7" top="0.75" bottom="0.75" header="0.3" footer="0.3"/>
  <pageSetup orientation="portrait" horizontalDpi="0"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A426A-3C7C-4625-B104-A24DF5292459}">
  <dimension ref="A1:BX865"/>
  <sheetViews>
    <sheetView zoomScaleNormal="100" workbookViewId="0">
      <selection activeCell="B38" sqref="B38"/>
    </sheetView>
  </sheetViews>
  <sheetFormatPr defaultColWidth="9.109375" defaultRowHeight="15.6"/>
  <cols>
    <col min="1" max="1" width="9.109375" style="1"/>
    <col min="2" max="2" width="11.33203125" style="1" customWidth="1"/>
    <col min="3" max="12" width="12.33203125" style="1" customWidth="1"/>
    <col min="13" max="13" width="9.109375" style="37" customWidth="1"/>
    <col min="14" max="33" width="9.109375" style="37"/>
    <col min="76" max="16384" width="9.109375" style="1"/>
  </cols>
  <sheetData>
    <row r="1" spans="1:76" ht="15.75" customHeight="1">
      <c r="A1" s="23" t="s">
        <v>669</v>
      </c>
      <c r="B1" s="22"/>
      <c r="C1" s="5" t="s">
        <v>38</v>
      </c>
      <c r="D1" s="22"/>
      <c r="E1" s="22"/>
      <c r="F1" s="22"/>
      <c r="G1" s="22"/>
      <c r="H1" s="22"/>
      <c r="I1" s="22"/>
      <c r="J1" s="22"/>
      <c r="K1" s="22"/>
      <c r="L1" s="2"/>
    </row>
    <row r="2" spans="1:76" ht="15.75" customHeight="1">
      <c r="A2" s="21"/>
      <c r="B2" s="21"/>
      <c r="C2" s="3"/>
      <c r="D2" s="3"/>
      <c r="E2" s="3"/>
      <c r="F2" s="3"/>
      <c r="G2" s="3"/>
      <c r="H2" s="3"/>
      <c r="I2" s="3"/>
      <c r="J2" s="3"/>
      <c r="K2" s="3"/>
      <c r="L2" s="2"/>
    </row>
    <row r="3" spans="1:76">
      <c r="A3" s="1670" t="s">
        <v>2188</v>
      </c>
      <c r="B3" s="1670"/>
      <c r="C3" s="1670"/>
      <c r="D3" s="1670"/>
      <c r="E3" s="1670"/>
      <c r="F3" s="1670"/>
      <c r="G3" s="1670"/>
      <c r="H3" s="1670"/>
      <c r="I3" s="1670"/>
      <c r="J3" s="1670"/>
      <c r="K3" s="1670"/>
      <c r="L3" s="1670"/>
    </row>
    <row r="4" spans="1:76">
      <c r="A4" s="135"/>
      <c r="B4" s="135"/>
      <c r="C4" s="135"/>
      <c r="D4" s="135"/>
      <c r="E4" s="135"/>
      <c r="F4" s="135"/>
      <c r="G4" s="135"/>
      <c r="H4" s="135"/>
      <c r="I4" s="135"/>
      <c r="J4" s="135"/>
      <c r="K4" s="135"/>
      <c r="L4" s="135"/>
    </row>
    <row r="5" spans="1:76">
      <c r="A5" s="3" t="s">
        <v>80</v>
      </c>
      <c r="B5" s="3" t="s">
        <v>2187</v>
      </c>
      <c r="C5" s="3"/>
      <c r="D5" s="3"/>
      <c r="E5" s="3"/>
      <c r="F5" s="3"/>
      <c r="G5" s="3"/>
      <c r="H5" s="3"/>
      <c r="I5" s="3"/>
      <c r="J5" s="3"/>
      <c r="K5" s="3"/>
      <c r="L5" s="2"/>
    </row>
    <row r="6" spans="1:76" ht="16.2">
      <c r="A6" s="5"/>
      <c r="B6" s="5" t="s">
        <v>64</v>
      </c>
      <c r="C6" s="5"/>
      <c r="D6" s="4"/>
      <c r="E6" s="4"/>
      <c r="F6" s="4"/>
      <c r="G6" s="4"/>
      <c r="H6" s="3"/>
      <c r="I6" s="3"/>
      <c r="J6" s="2"/>
      <c r="K6" s="3"/>
      <c r="L6" s="2"/>
    </row>
    <row r="7" spans="1:76" ht="16.2">
      <c r="A7" s="37"/>
      <c r="B7" s="92"/>
      <c r="C7" s="37"/>
      <c r="D7" s="37"/>
      <c r="E7" s="37"/>
      <c r="F7" s="190"/>
      <c r="G7" s="190"/>
      <c r="H7" s="190"/>
      <c r="I7" s="190"/>
      <c r="J7" s="190"/>
      <c r="K7" s="190"/>
      <c r="L7" s="37"/>
    </row>
    <row r="8" spans="1:76">
      <c r="A8" s="37"/>
      <c r="B8" s="37" t="s">
        <v>2186</v>
      </c>
      <c r="C8" s="37"/>
      <c r="D8" s="37"/>
      <c r="E8" s="37"/>
      <c r="F8" s="190"/>
      <c r="G8" s="190"/>
      <c r="H8" s="190"/>
      <c r="I8" s="190"/>
      <c r="J8" s="190"/>
      <c r="K8" s="190"/>
      <c r="L8" s="37"/>
    </row>
    <row r="9" spans="1:76" ht="15.75" customHeight="1">
      <c r="A9" s="37"/>
      <c r="B9" s="92"/>
      <c r="C9" s="37"/>
      <c r="D9" s="37"/>
      <c r="E9" s="37"/>
      <c r="F9" s="190"/>
      <c r="G9" s="190"/>
      <c r="H9" s="190"/>
      <c r="I9" s="190"/>
      <c r="J9" s="190"/>
      <c r="K9" s="190"/>
      <c r="L9" s="37"/>
    </row>
    <row r="10" spans="1:76" ht="15.75" customHeight="1">
      <c r="A10" s="21" t="s">
        <v>2185</v>
      </c>
      <c r="B10" s="49"/>
      <c r="C10" s="49"/>
      <c r="D10" s="49"/>
      <c r="E10" s="21"/>
      <c r="F10" s="21"/>
      <c r="G10" s="21"/>
      <c r="H10" s="21"/>
      <c r="I10" s="21"/>
      <c r="J10" s="21"/>
      <c r="K10" s="21"/>
      <c r="L10" s="21"/>
    </row>
    <row r="11" spans="1:76" ht="15.75" customHeight="1">
      <c r="A11" s="21" t="s">
        <v>2184</v>
      </c>
      <c r="B11" s="21"/>
      <c r="C11" s="21"/>
      <c r="D11" s="21"/>
      <c r="E11" s="21"/>
      <c r="F11" s="21"/>
      <c r="G11" s="21"/>
      <c r="H11" s="21"/>
      <c r="I11" s="21"/>
      <c r="J11" s="21"/>
      <c r="K11" s="1308" t="s">
        <v>2183</v>
      </c>
      <c r="L11" s="470">
        <v>1.5</v>
      </c>
    </row>
    <row r="12" spans="1:76" ht="15.75" customHeight="1">
      <c r="A12" s="21" t="s">
        <v>2182</v>
      </c>
      <c r="B12" s="21"/>
      <c r="C12" s="21"/>
      <c r="D12" s="21"/>
      <c r="E12" s="21"/>
      <c r="F12" s="21"/>
      <c r="G12" s="21"/>
      <c r="H12" s="21"/>
      <c r="I12" s="21"/>
      <c r="J12" s="21"/>
      <c r="K12" s="21"/>
      <c r="L12" s="21"/>
    </row>
    <row r="13" spans="1:76" ht="15.75" customHeight="1">
      <c r="A13" s="21"/>
      <c r="B13" s="21"/>
      <c r="C13" s="21"/>
      <c r="D13" s="21"/>
      <c r="E13" s="21"/>
      <c r="F13" s="21"/>
      <c r="G13" s="21"/>
      <c r="H13" s="21"/>
      <c r="I13" s="21"/>
      <c r="J13" s="21"/>
      <c r="K13" s="21"/>
      <c r="L13" s="21"/>
    </row>
    <row r="14" spans="1:76" ht="15.75" customHeight="1">
      <c r="A14" s="21"/>
      <c r="B14" s="1736" t="s">
        <v>2181</v>
      </c>
      <c r="C14" s="1736"/>
      <c r="D14" s="466" t="s">
        <v>1952</v>
      </c>
      <c r="E14" s="21"/>
      <c r="F14" s="21"/>
      <c r="G14" s="21"/>
      <c r="H14" s="21"/>
      <c r="I14" s="21"/>
      <c r="J14" s="21"/>
      <c r="K14" s="21"/>
      <c r="L14" s="21"/>
    </row>
    <row r="15" spans="1:76" ht="15.75" customHeight="1">
      <c r="A15" s="21"/>
      <c r="B15" s="1827">
        <v>1</v>
      </c>
      <c r="C15" s="1827"/>
      <c r="D15" s="470">
        <v>0.6</v>
      </c>
      <c r="E15" s="21"/>
      <c r="F15" s="21"/>
      <c r="G15" s="21"/>
      <c r="H15" s="21"/>
      <c r="I15" s="21"/>
      <c r="J15" s="21"/>
      <c r="K15" s="21"/>
      <c r="L15" s="21"/>
    </row>
    <row r="16" spans="1:76" ht="15.75" customHeight="1">
      <c r="A16" s="21"/>
      <c r="B16" s="1827">
        <v>2</v>
      </c>
      <c r="C16" s="1827"/>
      <c r="D16" s="470">
        <v>0.3</v>
      </c>
      <c r="E16" s="21"/>
      <c r="F16" s="21"/>
      <c r="G16" s="21"/>
      <c r="H16" s="21"/>
      <c r="I16" s="21"/>
      <c r="J16" s="21"/>
      <c r="K16" s="21"/>
      <c r="L16" s="21"/>
      <c r="BX16"/>
    </row>
    <row r="17" spans="1:76" ht="15.75" customHeight="1">
      <c r="A17" s="21"/>
      <c r="B17" s="1827">
        <v>3</v>
      </c>
      <c r="C17" s="1827"/>
      <c r="D17" s="470">
        <v>0.1</v>
      </c>
      <c r="E17" s="21"/>
      <c r="F17" s="21"/>
      <c r="G17" s="21"/>
      <c r="H17" s="21"/>
      <c r="I17" s="21"/>
      <c r="J17" s="21"/>
      <c r="K17" s="21"/>
      <c r="L17" s="21"/>
      <c r="BX17"/>
    </row>
    <row r="18" spans="1:76" ht="15.75" customHeight="1">
      <c r="A18" s="21"/>
      <c r="B18" s="49"/>
      <c r="C18" s="49"/>
      <c r="D18" s="49"/>
      <c r="E18" s="21"/>
      <c r="F18" s="21"/>
      <c r="G18" s="21"/>
      <c r="H18" s="21"/>
      <c r="I18" s="21"/>
      <c r="J18" s="21"/>
      <c r="K18" s="21"/>
      <c r="L18" s="21"/>
      <c r="BX18"/>
    </row>
    <row r="19" spans="1:76" ht="15.75" customHeight="1">
      <c r="A19" s="21" t="s">
        <v>1955</v>
      </c>
      <c r="B19" s="49"/>
      <c r="C19" s="49"/>
      <c r="D19" s="49"/>
      <c r="E19" s="21"/>
      <c r="F19" s="21"/>
      <c r="G19" s="21"/>
      <c r="H19" s="21"/>
      <c r="I19" s="21"/>
      <c r="J19" s="21"/>
      <c r="K19" s="21"/>
      <c r="L19" s="21"/>
      <c r="BX19"/>
    </row>
    <row r="20" spans="1:76" ht="15.75" customHeight="1">
      <c r="A20" s="3"/>
      <c r="B20" s="49"/>
      <c r="C20" s="49"/>
      <c r="D20" s="1290"/>
      <c r="E20" s="1290"/>
      <c r="F20" s="1290"/>
      <c r="G20" s="3"/>
      <c r="H20" s="3"/>
      <c r="I20" s="3"/>
      <c r="J20" s="3"/>
      <c r="K20" s="3"/>
      <c r="L20" s="3"/>
      <c r="BX20"/>
    </row>
    <row r="21" spans="1:76" ht="15.75" customHeight="1">
      <c r="A21" s="3" t="s">
        <v>9</v>
      </c>
      <c r="B21" s="3" t="s">
        <v>2180</v>
      </c>
      <c r="C21" s="3"/>
      <c r="D21" s="3"/>
      <c r="E21" s="3"/>
      <c r="F21" s="3"/>
      <c r="G21" s="3"/>
      <c r="H21" s="3"/>
      <c r="I21" s="3"/>
      <c r="J21" s="3"/>
      <c r="K21" s="3"/>
      <c r="L21" s="2"/>
    </row>
    <row r="22" spans="1:76" ht="15.75" customHeight="1">
      <c r="A22" s="5"/>
      <c r="B22" s="5" t="s">
        <v>64</v>
      </c>
      <c r="C22" s="5"/>
      <c r="D22" s="4"/>
      <c r="E22" s="4"/>
      <c r="F22" s="4"/>
      <c r="G22" s="4"/>
      <c r="H22" s="3"/>
      <c r="I22" s="3"/>
      <c r="J22" s="2"/>
      <c r="K22" s="3"/>
      <c r="L22" s="2"/>
    </row>
    <row r="23" spans="1:76" ht="15.75" customHeight="1">
      <c r="A23" s="37"/>
      <c r="B23" s="92"/>
      <c r="C23" s="37"/>
      <c r="D23" s="37"/>
      <c r="E23" s="37"/>
      <c r="F23" s="190"/>
      <c r="G23" s="190"/>
      <c r="H23" s="190"/>
      <c r="I23" s="190"/>
      <c r="J23" s="190"/>
      <c r="K23" s="190"/>
      <c r="L23" s="37"/>
    </row>
    <row r="24" spans="1:76" ht="15.75" customHeight="1">
      <c r="A24" s="37"/>
      <c r="B24" s="172" t="s">
        <v>1986</v>
      </c>
      <c r="C24" s="1307">
        <f>SUMPRODUCT($B$15:$B$17,$D$15:$D$17)*$L$11</f>
        <v>2.25</v>
      </c>
      <c r="D24" s="37"/>
      <c r="E24" s="37"/>
      <c r="F24" s="190"/>
      <c r="G24" s="190"/>
      <c r="H24" s="190"/>
      <c r="I24" s="190"/>
      <c r="J24" s="190"/>
      <c r="K24" s="190"/>
      <c r="L24" s="37"/>
    </row>
    <row r="25" spans="1:76" ht="15.75" customHeight="1">
      <c r="A25" s="37"/>
      <c r="B25" s="172" t="s">
        <v>252</v>
      </c>
      <c r="C25" s="1306">
        <f>SQRT(SUMPRODUCT($B$15:$B$17,$B$15:$B$17,$D$15:$D$17)*$L$11)/C24</f>
        <v>0.89442719099991586</v>
      </c>
      <c r="D25" s="37"/>
      <c r="E25" s="37"/>
      <c r="F25" s="190"/>
      <c r="G25" s="190"/>
      <c r="H25" s="190"/>
      <c r="I25" s="190"/>
      <c r="J25" s="190"/>
      <c r="K25" s="190"/>
      <c r="L25" s="37"/>
    </row>
    <row r="26" spans="1:76" ht="15.75" customHeight="1">
      <c r="A26" s="37"/>
      <c r="B26" s="92"/>
      <c r="C26" s="37"/>
      <c r="D26" s="37"/>
      <c r="E26" s="37"/>
      <c r="F26" s="190"/>
      <c r="G26" s="190"/>
      <c r="H26" s="190"/>
      <c r="I26" s="190"/>
      <c r="J26" s="190"/>
      <c r="K26" s="190"/>
      <c r="L26" s="37"/>
    </row>
    <row r="27" spans="1:76" ht="15.75" customHeight="1">
      <c r="A27" s="214" t="s">
        <v>7</v>
      </c>
      <c r="B27" s="1670" t="s">
        <v>2179</v>
      </c>
      <c r="C27" s="1670"/>
      <c r="D27" s="1670"/>
      <c r="E27" s="1670"/>
      <c r="F27" s="1670"/>
      <c r="G27" s="1670"/>
      <c r="H27" s="1670"/>
      <c r="I27" s="1670"/>
      <c r="J27" s="1670"/>
      <c r="K27" s="1670"/>
      <c r="L27" s="1670"/>
    </row>
    <row r="28" spans="1:76" ht="15.75" customHeight="1">
      <c r="A28" s="5"/>
      <c r="B28" s="200" t="s">
        <v>213</v>
      </c>
      <c r="C28" s="199"/>
      <c r="D28" s="199"/>
      <c r="E28" s="199"/>
      <c r="F28" s="199"/>
      <c r="G28" s="199"/>
      <c r="H28" s="198"/>
      <c r="I28" s="198"/>
      <c r="J28" s="197"/>
      <c r="K28" s="197"/>
      <c r="L28" s="197"/>
    </row>
    <row r="29" spans="1:76" ht="15.75" customHeight="1">
      <c r="A29" s="37"/>
      <c r="B29" s="37"/>
      <c r="C29" s="37"/>
      <c r="D29" s="37"/>
      <c r="E29" s="37"/>
      <c r="F29" s="37"/>
      <c r="G29" s="37"/>
      <c r="H29" s="37"/>
      <c r="I29" s="37"/>
      <c r="J29" s="37"/>
      <c r="K29" s="37"/>
      <c r="L29" s="37"/>
    </row>
    <row r="30" spans="1:76" ht="30.9" customHeight="1">
      <c r="A30" s="37"/>
      <c r="B30" s="1929" t="s">
        <v>2178</v>
      </c>
      <c r="C30" s="1929"/>
      <c r="D30" s="196" t="s">
        <v>1952</v>
      </c>
      <c r="E30" s="37"/>
      <c r="F30" s="37"/>
      <c r="G30" s="37"/>
      <c r="H30" s="37"/>
      <c r="I30" s="37"/>
      <c r="J30" s="37"/>
      <c r="K30" s="37"/>
      <c r="L30" s="37"/>
    </row>
    <row r="31" spans="1:76">
      <c r="A31" s="37"/>
      <c r="B31" s="1305"/>
      <c r="C31" s="1304"/>
      <c r="D31" s="1303">
        <v>0</v>
      </c>
      <c r="E31" s="37"/>
      <c r="F31" s="37"/>
      <c r="G31" s="37"/>
      <c r="H31" s="37"/>
      <c r="I31" s="37"/>
      <c r="J31" s="37"/>
      <c r="K31" s="37"/>
      <c r="L31" s="37"/>
    </row>
    <row r="32" spans="1:76">
      <c r="A32" s="37"/>
      <c r="B32" s="1305"/>
      <c r="C32" s="1304"/>
      <c r="D32" s="1303">
        <v>0</v>
      </c>
      <c r="E32" s="37"/>
      <c r="F32" s="37"/>
      <c r="G32" s="37"/>
      <c r="H32" s="37"/>
      <c r="I32" s="37"/>
      <c r="J32" s="37"/>
      <c r="K32" s="37"/>
      <c r="L32" s="37"/>
    </row>
    <row r="33" spans="1:12" ht="15.75" customHeight="1">
      <c r="A33" s="37"/>
      <c r="B33" s="1738">
        <v>0</v>
      </c>
      <c r="C33" s="1739"/>
      <c r="D33" s="1302">
        <f>$L$11^$B33*EXP(-$L$11)/FACT($B33)</f>
        <v>0.22313016014842982</v>
      </c>
      <c r="E33" s="37"/>
      <c r="F33" s="37"/>
      <c r="G33" s="37"/>
      <c r="H33" s="37"/>
      <c r="I33" s="37"/>
      <c r="J33" s="37"/>
      <c r="K33" s="37"/>
      <c r="L33" s="37"/>
    </row>
    <row r="34" spans="1:12" ht="15.75" customHeight="1">
      <c r="A34" s="37"/>
      <c r="B34" s="1738">
        <v>1</v>
      </c>
      <c r="C34" s="1739"/>
      <c r="D34" s="1302">
        <f t="shared" ref="D34:D48" si="0">$L$11/B34*(D33*$D$15+2*D32*$D$16+3*D31*$D$17)</f>
        <v>0.20081714413358681</v>
      </c>
      <c r="E34" s="37"/>
      <c r="F34" s="37"/>
      <c r="G34" s="37"/>
      <c r="H34" s="37"/>
      <c r="I34" s="37"/>
      <c r="J34" s="37"/>
      <c r="K34" s="37"/>
      <c r="L34" s="37"/>
    </row>
    <row r="35" spans="1:12" ht="15.75" customHeight="1">
      <c r="A35" s="37"/>
      <c r="B35" s="1738">
        <v>2</v>
      </c>
      <c r="C35" s="1739"/>
      <c r="D35" s="1302">
        <f t="shared" si="0"/>
        <v>0.19077628692690746</v>
      </c>
      <c r="E35" s="37"/>
      <c r="F35" s="37"/>
      <c r="G35" s="37"/>
      <c r="H35" s="37"/>
      <c r="I35" s="37"/>
      <c r="J35" s="37"/>
      <c r="K35" s="37"/>
      <c r="L35" s="37"/>
    </row>
    <row r="36" spans="1:12" ht="15.75" customHeight="1">
      <c r="A36" s="37"/>
      <c r="B36" s="1738">
        <v>3</v>
      </c>
      <c r="C36" s="1739"/>
      <c r="D36" s="1302">
        <f t="shared" si="0"/>
        <v>0.15094755334041274</v>
      </c>
      <c r="E36" s="37"/>
      <c r="F36" s="37"/>
      <c r="G36" s="37"/>
      <c r="H36" s="37"/>
      <c r="I36" s="37"/>
      <c r="J36" s="37"/>
      <c r="K36" s="37"/>
      <c r="L36" s="37"/>
    </row>
    <row r="37" spans="1:12" ht="15.75" customHeight="1">
      <c r="A37" s="37"/>
      <c r="B37" s="1738">
        <v>4</v>
      </c>
      <c r="C37" s="1739"/>
      <c r="D37" s="1302">
        <f t="shared" si="0"/>
        <v>9.947979277517556E-2</v>
      </c>
      <c r="E37" s="37"/>
      <c r="F37" s="37"/>
      <c r="G37" s="37"/>
      <c r="H37" s="37"/>
      <c r="I37" s="37"/>
      <c r="J37" s="37"/>
      <c r="K37" s="37"/>
      <c r="L37" s="37"/>
    </row>
    <row r="38" spans="1:12" ht="15.75" customHeight="1">
      <c r="A38" s="37"/>
      <c r="B38" s="1738">
        <v>5</v>
      </c>
      <c r="C38" s="1739"/>
      <c r="D38" s="1302">
        <f t="shared" si="0"/>
        <v>6.2246788124227563E-2</v>
      </c>
      <c r="E38" s="37"/>
      <c r="F38" s="37"/>
      <c r="G38" s="37"/>
      <c r="H38" s="37"/>
      <c r="I38" s="37"/>
      <c r="J38" s="37"/>
      <c r="K38" s="37"/>
      <c r="L38" s="37"/>
    </row>
    <row r="39" spans="1:12" ht="15.75" customHeight="1">
      <c r="A39" s="37"/>
      <c r="B39" s="1738">
        <v>6</v>
      </c>
      <c r="C39" s="1739"/>
      <c r="D39" s="1302">
        <f t="shared" si="0"/>
        <v>3.5580053635441422E-2</v>
      </c>
      <c r="E39" s="37"/>
      <c r="F39" s="37"/>
      <c r="G39" s="37"/>
      <c r="H39" s="37"/>
      <c r="I39" s="37"/>
      <c r="J39" s="37"/>
      <c r="K39" s="37"/>
      <c r="L39" s="37"/>
    </row>
    <row r="40" spans="1:12" ht="15.75" customHeight="1">
      <c r="A40" s="37"/>
      <c r="B40" s="1738">
        <v>7</v>
      </c>
      <c r="C40" s="1739"/>
      <c r="D40" s="1302">
        <f t="shared" si="0"/>
        <v>1.8972866333218725E-2</v>
      </c>
      <c r="E40" s="37"/>
      <c r="F40" s="37"/>
      <c r="G40" s="37"/>
      <c r="H40" s="37"/>
      <c r="I40" s="37"/>
      <c r="J40" s="37"/>
      <c r="K40" s="37"/>
      <c r="L40" s="37"/>
    </row>
    <row r="41" spans="1:12" ht="15.75" customHeight="1">
      <c r="A41" s="37"/>
      <c r="B41" s="1738">
        <v>8</v>
      </c>
      <c r="C41" s="1739"/>
      <c r="D41" s="1302">
        <f t="shared" si="0"/>
        <v>9.6385853284620664E-3</v>
      </c>
      <c r="E41" s="37"/>
      <c r="F41" s="37"/>
      <c r="G41" s="37"/>
      <c r="H41" s="37"/>
      <c r="I41" s="37"/>
      <c r="J41" s="37"/>
      <c r="K41" s="37"/>
      <c r="L41" s="37"/>
    </row>
    <row r="42" spans="1:12" ht="15.75" customHeight="1">
      <c r="A42" s="37"/>
      <c r="B42" s="1738">
        <v>9</v>
      </c>
      <c r="C42" s="1739"/>
      <c r="D42" s="1302">
        <f t="shared" si="0"/>
        <v>4.6401478479401494E-3</v>
      </c>
      <c r="E42" s="37"/>
      <c r="F42" s="37"/>
      <c r="G42" s="37"/>
      <c r="H42" s="37"/>
      <c r="I42" s="37"/>
      <c r="J42" s="37"/>
      <c r="K42" s="37"/>
      <c r="L42" s="37"/>
    </row>
    <row r="43" spans="1:12" ht="15.75" customHeight="1">
      <c r="A43" s="37"/>
      <c r="B43" s="1738">
        <v>10</v>
      </c>
      <c r="C43" s="1739"/>
      <c r="D43" s="1302">
        <f t="shared" si="0"/>
        <v>2.1388649708710423E-3</v>
      </c>
      <c r="E43" s="37"/>
      <c r="F43" s="37"/>
      <c r="G43" s="37"/>
      <c r="H43" s="37"/>
      <c r="I43" s="37"/>
      <c r="J43" s="37"/>
      <c r="K43" s="37"/>
      <c r="L43" s="37"/>
    </row>
    <row r="44" spans="1:12" ht="15.75" customHeight="1">
      <c r="A44" s="37"/>
      <c r="B44" s="1738">
        <v>11</v>
      </c>
      <c r="C44" s="1739"/>
      <c r="D44" s="1302">
        <f t="shared" si="0"/>
        <v>9.4895226679436381E-4</v>
      </c>
      <c r="E44" s="37"/>
      <c r="F44" s="37"/>
      <c r="G44" s="37"/>
      <c r="H44" s="37"/>
      <c r="I44" s="37"/>
      <c r="J44" s="37"/>
      <c r="K44" s="37"/>
      <c r="L44" s="37"/>
    </row>
    <row r="45" spans="1:12" ht="15.75" customHeight="1">
      <c r="A45" s="37"/>
      <c r="B45" s="1738">
        <v>12</v>
      </c>
      <c r="C45" s="1739"/>
      <c r="D45" s="1302">
        <f t="shared" si="0"/>
        <v>4.0559183712266108E-4</v>
      </c>
      <c r="E45" s="37"/>
      <c r="F45" s="37"/>
      <c r="G45" s="37"/>
      <c r="H45" s="37"/>
      <c r="I45" s="37"/>
      <c r="J45" s="37"/>
      <c r="K45" s="37"/>
      <c r="L45" s="37"/>
    </row>
    <row r="46" spans="1:12" ht="15.75" customHeight="1">
      <c r="A46" s="37"/>
      <c r="B46" s="1738">
        <v>13</v>
      </c>
      <c r="C46" s="1739"/>
      <c r="D46" s="1302">
        <f t="shared" si="0"/>
        <v>1.6781376387825321E-4</v>
      </c>
      <c r="E46" s="37"/>
      <c r="F46" s="37"/>
      <c r="G46" s="37"/>
      <c r="H46" s="37"/>
      <c r="I46" s="37"/>
      <c r="J46" s="37"/>
      <c r="K46" s="37"/>
      <c r="L46" s="37"/>
    </row>
    <row r="47" spans="1:12" ht="15.75" customHeight="1">
      <c r="A47" s="37"/>
      <c r="B47" s="1738">
        <v>14</v>
      </c>
      <c r="C47" s="1739"/>
      <c r="D47" s="1302">
        <f t="shared" si="0"/>
        <v>6.7363825782734753E-5</v>
      </c>
      <c r="E47" s="37"/>
      <c r="F47" s="37"/>
      <c r="G47" s="37"/>
      <c r="H47" s="37"/>
      <c r="I47" s="37"/>
      <c r="J47" s="37"/>
      <c r="K47" s="37"/>
      <c r="L47" s="37"/>
    </row>
    <row r="48" spans="1:12" ht="15.75" customHeight="1">
      <c r="A48" s="37"/>
      <c r="B48" s="1738">
        <v>15</v>
      </c>
      <c r="C48" s="1739"/>
      <c r="D48" s="1302">
        <f t="shared" si="0"/>
        <v>2.6278410493339117E-5</v>
      </c>
      <c r="E48" s="37"/>
      <c r="F48" s="37"/>
      <c r="G48" s="37"/>
      <c r="H48" s="37"/>
      <c r="I48" s="37"/>
      <c r="J48" s="37"/>
      <c r="K48" s="37"/>
      <c r="L48" s="37"/>
    </row>
    <row r="49" spans="1:12" ht="15.75" customHeight="1">
      <c r="A49" s="37"/>
      <c r="B49" s="37"/>
      <c r="C49" s="37"/>
      <c r="D49" s="37"/>
      <c r="E49" s="37"/>
      <c r="F49" s="37"/>
      <c r="G49" s="37"/>
      <c r="H49" s="37"/>
      <c r="I49" s="37"/>
      <c r="J49" s="37"/>
      <c r="K49" s="37"/>
      <c r="L49" s="37"/>
    </row>
    <row r="50" spans="1:12">
      <c r="A50" s="37"/>
      <c r="B50" s="37"/>
      <c r="C50" s="37"/>
      <c r="D50" s="37"/>
      <c r="E50" s="37"/>
      <c r="F50" s="37"/>
      <c r="G50" s="37"/>
      <c r="H50" s="37"/>
      <c r="I50" s="37"/>
      <c r="J50" s="37"/>
      <c r="K50" s="37"/>
      <c r="L50" s="37"/>
    </row>
    <row r="51" spans="1:12">
      <c r="A51" s="37"/>
      <c r="B51" s="37"/>
      <c r="C51" s="37"/>
      <c r="D51" s="37"/>
      <c r="E51" s="37"/>
      <c r="F51" s="37"/>
      <c r="G51" s="37"/>
      <c r="H51" s="37"/>
      <c r="I51" s="37"/>
      <c r="J51" s="37"/>
      <c r="K51" s="37"/>
      <c r="L51" s="37"/>
    </row>
    <row r="52" spans="1:12">
      <c r="A52" s="37"/>
      <c r="B52" s="37"/>
      <c r="C52" s="37"/>
      <c r="D52" s="37"/>
      <c r="E52" s="37"/>
      <c r="F52" s="37"/>
      <c r="G52" s="37"/>
      <c r="H52" s="37"/>
      <c r="I52" s="37"/>
      <c r="J52" s="37"/>
      <c r="K52" s="37"/>
      <c r="L52" s="37"/>
    </row>
    <row r="53" spans="1:12">
      <c r="A53" s="37"/>
      <c r="B53" s="37"/>
      <c r="C53" s="37"/>
      <c r="D53" s="37"/>
      <c r="E53" s="37"/>
      <c r="F53" s="37"/>
      <c r="G53" s="37"/>
      <c r="H53" s="37"/>
      <c r="I53" s="37"/>
      <c r="J53" s="37"/>
      <c r="K53" s="37"/>
      <c r="L53" s="37"/>
    </row>
    <row r="54" spans="1:12">
      <c r="A54" s="37"/>
      <c r="B54" s="37"/>
      <c r="C54" s="37"/>
      <c r="D54" s="37"/>
      <c r="E54" s="37"/>
      <c r="F54" s="37"/>
      <c r="G54" s="37"/>
      <c r="H54" s="37"/>
      <c r="I54" s="37"/>
      <c r="J54" s="37"/>
      <c r="K54" s="37"/>
      <c r="L54" s="37"/>
    </row>
    <row r="55" spans="1:12">
      <c r="A55" s="37"/>
      <c r="B55" s="37"/>
      <c r="C55" s="37"/>
      <c r="D55" s="37"/>
      <c r="E55" s="37"/>
      <c r="F55" s="37"/>
      <c r="G55" s="37"/>
      <c r="H55" s="37"/>
      <c r="I55" s="37"/>
      <c r="J55" s="37"/>
      <c r="K55" s="37"/>
      <c r="L55" s="37"/>
    </row>
    <row r="56" spans="1:12">
      <c r="A56" s="37"/>
      <c r="B56" s="37"/>
      <c r="C56" s="37"/>
      <c r="D56" s="37"/>
      <c r="E56" s="37"/>
      <c r="F56" s="37"/>
      <c r="G56" s="37"/>
      <c r="H56" s="37"/>
      <c r="I56" s="37"/>
      <c r="J56" s="37"/>
      <c r="K56" s="37"/>
      <c r="L56" s="37"/>
    </row>
    <row r="57" spans="1:12">
      <c r="A57" s="37"/>
      <c r="B57" s="37"/>
      <c r="C57" s="37"/>
      <c r="D57" s="37"/>
      <c r="E57" s="37"/>
      <c r="F57" s="37"/>
      <c r="G57" s="37"/>
      <c r="H57" s="37"/>
      <c r="I57" s="37"/>
      <c r="J57" s="37"/>
      <c r="K57" s="37"/>
      <c r="L57" s="37"/>
    </row>
    <row r="58" spans="1:12">
      <c r="A58" s="37"/>
      <c r="B58" s="37"/>
      <c r="C58" s="37"/>
      <c r="D58" s="37"/>
      <c r="E58" s="37"/>
      <c r="F58" s="37"/>
      <c r="G58" s="37"/>
      <c r="H58" s="37"/>
      <c r="I58" s="37"/>
      <c r="J58" s="37"/>
      <c r="K58" s="37"/>
      <c r="L58" s="37"/>
    </row>
    <row r="59" spans="1:12">
      <c r="A59" s="37"/>
      <c r="B59" s="37"/>
      <c r="C59" s="37"/>
      <c r="D59" s="37"/>
      <c r="E59" s="37"/>
      <c r="F59" s="37"/>
      <c r="G59" s="37"/>
      <c r="H59" s="37"/>
      <c r="I59" s="37"/>
      <c r="J59" s="37"/>
      <c r="K59" s="37"/>
      <c r="L59" s="37"/>
    </row>
    <row r="60" spans="1:12">
      <c r="A60" s="37"/>
      <c r="B60" s="37"/>
      <c r="C60" s="37"/>
      <c r="D60" s="37"/>
      <c r="E60" s="37"/>
      <c r="F60" s="37"/>
      <c r="G60" s="37"/>
      <c r="H60" s="37"/>
      <c r="I60" s="37"/>
      <c r="J60" s="37"/>
      <c r="K60" s="37"/>
      <c r="L60" s="37"/>
    </row>
    <row r="61" spans="1:12">
      <c r="A61" s="37"/>
      <c r="B61" s="37"/>
      <c r="C61" s="37"/>
      <c r="D61" s="37"/>
      <c r="E61" s="37"/>
      <c r="F61" s="37"/>
      <c r="G61" s="37"/>
      <c r="H61" s="37"/>
      <c r="I61" s="37"/>
      <c r="J61" s="37"/>
      <c r="K61" s="37"/>
      <c r="L61" s="37"/>
    </row>
    <row r="62" spans="1:12">
      <c r="A62" s="37"/>
      <c r="B62" s="37"/>
      <c r="C62" s="37"/>
      <c r="D62" s="37"/>
      <c r="E62" s="37"/>
      <c r="F62" s="37"/>
      <c r="G62" s="37"/>
      <c r="H62" s="37"/>
      <c r="I62" s="37"/>
      <c r="J62" s="37"/>
      <c r="K62" s="37"/>
      <c r="L62" s="37"/>
    </row>
    <row r="63" spans="1:12">
      <c r="A63" s="37"/>
      <c r="B63" s="37"/>
      <c r="C63" s="37"/>
      <c r="D63" s="37"/>
      <c r="E63" s="37"/>
      <c r="F63" s="37"/>
      <c r="G63" s="37"/>
      <c r="H63" s="37"/>
      <c r="I63" s="37"/>
      <c r="J63" s="37"/>
      <c r="K63" s="37"/>
      <c r="L63" s="37"/>
    </row>
    <row r="64" spans="1:12">
      <c r="A64" s="37"/>
      <c r="B64" s="37"/>
      <c r="C64" s="37"/>
      <c r="D64" s="37"/>
      <c r="E64" s="37"/>
      <c r="F64" s="37"/>
      <c r="G64" s="37"/>
      <c r="H64" s="37"/>
      <c r="I64" s="37"/>
      <c r="J64" s="37"/>
      <c r="K64" s="37"/>
      <c r="L64" s="37"/>
    </row>
    <row r="65" spans="1:12">
      <c r="A65" s="37"/>
      <c r="B65" s="37"/>
      <c r="C65" s="37"/>
      <c r="D65" s="37"/>
      <c r="E65" s="37"/>
      <c r="F65" s="37"/>
      <c r="G65" s="37"/>
      <c r="H65" s="37"/>
      <c r="I65" s="37"/>
      <c r="J65" s="37"/>
      <c r="K65" s="37"/>
      <c r="L65" s="37"/>
    </row>
    <row r="66" spans="1:12">
      <c r="A66" s="37"/>
      <c r="B66" s="37"/>
      <c r="C66" s="37"/>
      <c r="D66" s="37"/>
      <c r="E66" s="37"/>
      <c r="F66" s="37"/>
      <c r="G66" s="37"/>
      <c r="H66" s="37"/>
      <c r="I66" s="37"/>
      <c r="J66" s="37"/>
      <c r="K66" s="37"/>
      <c r="L66" s="37"/>
    </row>
    <row r="67" spans="1:12">
      <c r="A67" s="37"/>
      <c r="B67" s="37"/>
      <c r="C67" s="37"/>
      <c r="D67" s="37"/>
      <c r="E67" s="37"/>
      <c r="F67" s="37"/>
      <c r="G67" s="37"/>
      <c r="H67" s="37"/>
      <c r="I67" s="37"/>
      <c r="J67" s="37"/>
      <c r="K67" s="37"/>
      <c r="L67" s="37"/>
    </row>
    <row r="68" spans="1:12">
      <c r="A68" s="37"/>
      <c r="B68" s="37"/>
      <c r="C68" s="37"/>
      <c r="D68" s="37"/>
      <c r="E68" s="37"/>
      <c r="F68" s="37"/>
      <c r="G68" s="37"/>
      <c r="H68" s="37"/>
      <c r="I68" s="37"/>
      <c r="J68" s="37"/>
      <c r="K68" s="37"/>
      <c r="L68" s="37"/>
    </row>
    <row r="69" spans="1:12">
      <c r="A69" s="37"/>
      <c r="B69" s="37"/>
      <c r="C69" s="37"/>
      <c r="D69" s="37"/>
      <c r="E69" s="37"/>
      <c r="F69" s="37"/>
      <c r="G69" s="37"/>
      <c r="H69" s="37"/>
      <c r="I69" s="37"/>
      <c r="J69" s="37"/>
      <c r="K69" s="37"/>
      <c r="L69" s="37"/>
    </row>
    <row r="70" spans="1:12">
      <c r="A70" s="37"/>
      <c r="B70" s="37"/>
      <c r="C70" s="37"/>
      <c r="D70" s="37"/>
      <c r="E70" s="37"/>
      <c r="F70" s="37"/>
      <c r="G70" s="37"/>
      <c r="H70" s="37"/>
      <c r="I70" s="37"/>
      <c r="J70" s="37"/>
      <c r="K70" s="37"/>
      <c r="L70" s="37"/>
    </row>
    <row r="71" spans="1:12">
      <c r="A71" s="37"/>
      <c r="B71" s="37"/>
      <c r="C71" s="37"/>
      <c r="D71" s="37"/>
      <c r="E71" s="37"/>
      <c r="F71" s="37"/>
      <c r="G71" s="37"/>
      <c r="H71" s="37"/>
      <c r="I71" s="37"/>
      <c r="J71" s="37"/>
      <c r="K71" s="37"/>
      <c r="L71" s="37"/>
    </row>
    <row r="72" spans="1:12">
      <c r="A72" s="37"/>
      <c r="B72" s="37"/>
      <c r="C72" s="37"/>
      <c r="D72" s="37"/>
      <c r="E72" s="37"/>
      <c r="F72" s="37"/>
      <c r="G72" s="37"/>
      <c r="H72" s="37"/>
      <c r="I72" s="37"/>
      <c r="J72" s="37"/>
      <c r="K72" s="37"/>
      <c r="L72" s="37"/>
    </row>
    <row r="73" spans="1:12">
      <c r="A73" s="37"/>
      <c r="B73" s="37"/>
      <c r="C73" s="37"/>
      <c r="D73" s="37"/>
      <c r="E73" s="37"/>
      <c r="F73" s="37"/>
      <c r="G73" s="37"/>
      <c r="H73" s="37"/>
      <c r="I73" s="37"/>
      <c r="J73" s="37"/>
      <c r="K73" s="37"/>
      <c r="L73" s="37"/>
    </row>
    <row r="74" spans="1:12">
      <c r="A74" s="37"/>
      <c r="B74" s="37"/>
      <c r="C74" s="37"/>
      <c r="D74" s="37"/>
      <c r="E74" s="37"/>
      <c r="F74" s="37"/>
      <c r="G74" s="37"/>
      <c r="H74" s="37"/>
      <c r="I74" s="37"/>
      <c r="J74" s="37"/>
      <c r="K74" s="37"/>
      <c r="L74" s="37"/>
    </row>
    <row r="75" spans="1:12">
      <c r="A75" s="37"/>
      <c r="B75" s="37"/>
      <c r="C75" s="37"/>
      <c r="D75" s="37"/>
      <c r="E75" s="37"/>
      <c r="F75" s="37"/>
      <c r="G75" s="37"/>
      <c r="H75" s="37"/>
      <c r="I75" s="37"/>
      <c r="J75" s="37"/>
      <c r="K75" s="37"/>
      <c r="L75" s="37"/>
    </row>
    <row r="76" spans="1:12">
      <c r="A76" s="37"/>
      <c r="B76" s="37"/>
      <c r="C76" s="37"/>
      <c r="D76" s="37"/>
      <c r="E76" s="37"/>
      <c r="F76" s="37"/>
      <c r="G76" s="37"/>
      <c r="H76" s="37"/>
      <c r="I76" s="37"/>
      <c r="J76" s="37"/>
      <c r="K76" s="37"/>
      <c r="L76" s="37"/>
    </row>
    <row r="77" spans="1:12">
      <c r="A77" s="37"/>
      <c r="B77" s="37"/>
      <c r="C77" s="37"/>
      <c r="D77" s="37"/>
      <c r="E77" s="37"/>
      <c r="F77" s="37"/>
      <c r="G77" s="37"/>
      <c r="H77" s="37"/>
      <c r="I77" s="37"/>
      <c r="J77" s="37"/>
      <c r="K77" s="37"/>
      <c r="L77" s="37"/>
    </row>
    <row r="78" spans="1:12">
      <c r="A78" s="37"/>
      <c r="B78" s="37"/>
      <c r="C78" s="37"/>
      <c r="D78" s="37"/>
      <c r="E78" s="37"/>
      <c r="F78" s="37"/>
      <c r="G78" s="37"/>
      <c r="H78" s="37"/>
      <c r="I78" s="37"/>
      <c r="J78" s="37"/>
      <c r="K78" s="37"/>
      <c r="L78" s="37"/>
    </row>
    <row r="79" spans="1:12">
      <c r="A79" s="37"/>
      <c r="B79" s="37"/>
      <c r="C79" s="37"/>
      <c r="D79" s="37"/>
      <c r="E79" s="37"/>
      <c r="F79" s="37"/>
      <c r="G79" s="37"/>
      <c r="H79" s="37"/>
      <c r="I79" s="37"/>
      <c r="J79" s="37"/>
      <c r="K79" s="37"/>
      <c r="L79" s="37"/>
    </row>
    <row r="80" spans="1:12">
      <c r="A80" s="37"/>
      <c r="B80" s="37"/>
      <c r="C80" s="37"/>
      <c r="D80" s="37"/>
      <c r="E80" s="37"/>
      <c r="F80" s="37"/>
      <c r="G80" s="37"/>
      <c r="H80" s="37"/>
      <c r="I80" s="37"/>
      <c r="J80" s="37"/>
      <c r="K80" s="37"/>
      <c r="L80" s="37"/>
    </row>
    <row r="81" spans="1:12">
      <c r="A81" s="37"/>
      <c r="B81" s="37"/>
      <c r="C81" s="37"/>
      <c r="D81" s="37"/>
      <c r="E81" s="37"/>
      <c r="F81" s="37"/>
      <c r="G81" s="37"/>
      <c r="H81" s="37"/>
      <c r="I81" s="37"/>
      <c r="J81" s="37"/>
      <c r="K81" s="37"/>
      <c r="L81" s="37"/>
    </row>
    <row r="82" spans="1:12">
      <c r="A82" s="37"/>
      <c r="B82" s="37"/>
      <c r="C82" s="37"/>
      <c r="D82" s="37"/>
      <c r="E82" s="37"/>
      <c r="F82" s="37"/>
      <c r="G82" s="37"/>
      <c r="H82" s="37"/>
      <c r="I82" s="37"/>
      <c r="J82" s="37"/>
      <c r="K82" s="37"/>
      <c r="L82" s="37"/>
    </row>
    <row r="83" spans="1:12">
      <c r="A83" s="37"/>
      <c r="B83" s="37"/>
      <c r="C83" s="37"/>
      <c r="D83" s="37"/>
      <c r="E83" s="37"/>
      <c r="F83" s="37"/>
      <c r="G83" s="37"/>
      <c r="H83" s="37"/>
      <c r="I83" s="37"/>
      <c r="J83" s="37"/>
      <c r="K83" s="37"/>
      <c r="L83" s="37"/>
    </row>
    <row r="84" spans="1:12">
      <c r="A84" s="37"/>
      <c r="B84" s="37"/>
      <c r="C84" s="37"/>
      <c r="D84" s="37"/>
      <c r="E84" s="37"/>
      <c r="F84" s="37"/>
      <c r="G84" s="37"/>
      <c r="H84" s="37"/>
      <c r="I84" s="37"/>
      <c r="J84" s="37"/>
      <c r="K84" s="37"/>
      <c r="L84" s="37"/>
    </row>
    <row r="85" spans="1:12">
      <c r="A85" s="37"/>
      <c r="B85" s="37"/>
      <c r="C85" s="37"/>
      <c r="D85" s="37"/>
      <c r="E85" s="37"/>
      <c r="F85" s="37"/>
      <c r="G85" s="37"/>
      <c r="H85" s="37"/>
      <c r="I85" s="37"/>
      <c r="J85" s="37"/>
      <c r="K85" s="37"/>
      <c r="L85" s="37"/>
    </row>
    <row r="86" spans="1:12">
      <c r="A86" s="37"/>
      <c r="B86" s="37"/>
      <c r="C86" s="37"/>
      <c r="D86" s="37"/>
      <c r="E86" s="37"/>
      <c r="F86" s="37"/>
      <c r="G86" s="37"/>
      <c r="H86" s="37"/>
      <c r="I86" s="37"/>
      <c r="J86" s="37"/>
      <c r="K86" s="37"/>
      <c r="L86" s="37"/>
    </row>
    <row r="87" spans="1:12">
      <c r="A87" s="37"/>
      <c r="B87" s="37"/>
      <c r="C87" s="37"/>
      <c r="D87" s="37"/>
      <c r="E87" s="37"/>
      <c r="F87" s="37"/>
      <c r="G87" s="37"/>
      <c r="H87" s="37"/>
      <c r="I87" s="37"/>
      <c r="J87" s="37"/>
      <c r="K87" s="37"/>
      <c r="L87" s="37"/>
    </row>
    <row r="88" spans="1:12">
      <c r="A88" s="37"/>
      <c r="B88" s="37"/>
      <c r="C88" s="37"/>
      <c r="D88" s="37"/>
      <c r="E88" s="37"/>
      <c r="F88" s="37"/>
      <c r="G88" s="37"/>
      <c r="H88" s="37"/>
      <c r="I88" s="37"/>
      <c r="J88" s="37"/>
      <c r="K88" s="37"/>
      <c r="L88" s="37"/>
    </row>
    <row r="89" spans="1:12">
      <c r="A89" s="37"/>
      <c r="B89" s="37"/>
      <c r="C89" s="37"/>
      <c r="D89" s="37"/>
      <c r="E89" s="37"/>
      <c r="F89" s="37"/>
      <c r="G89" s="37"/>
      <c r="H89" s="37"/>
      <c r="I89" s="37"/>
      <c r="J89" s="37"/>
      <c r="K89" s="37"/>
      <c r="L89" s="37"/>
    </row>
    <row r="90" spans="1:12">
      <c r="A90" s="37"/>
      <c r="B90" s="37"/>
      <c r="C90" s="37"/>
      <c r="D90" s="37"/>
      <c r="E90" s="37"/>
      <c r="F90" s="37"/>
      <c r="G90" s="37"/>
      <c r="H90" s="37"/>
      <c r="I90" s="37"/>
      <c r="J90" s="37"/>
      <c r="K90" s="37"/>
      <c r="L90" s="37"/>
    </row>
    <row r="91" spans="1:12">
      <c r="A91" s="37"/>
      <c r="B91" s="37"/>
      <c r="C91" s="37"/>
      <c r="D91" s="37"/>
      <c r="E91" s="37"/>
      <c r="F91" s="37"/>
      <c r="G91" s="37"/>
      <c r="H91" s="37"/>
      <c r="I91" s="37"/>
      <c r="J91" s="37"/>
      <c r="K91" s="37"/>
      <c r="L91" s="37"/>
    </row>
    <row r="92" spans="1:12">
      <c r="A92" s="37"/>
      <c r="B92" s="37"/>
      <c r="C92" s="37"/>
      <c r="D92" s="37"/>
      <c r="E92" s="37"/>
      <c r="F92" s="37"/>
      <c r="G92" s="37"/>
      <c r="H92" s="37"/>
      <c r="I92" s="37"/>
      <c r="J92" s="37"/>
      <c r="K92" s="37"/>
      <c r="L92" s="37"/>
    </row>
    <row r="93" spans="1:12">
      <c r="A93" s="37"/>
      <c r="B93" s="37"/>
      <c r="C93" s="37"/>
      <c r="D93" s="37"/>
      <c r="E93" s="37"/>
      <c r="F93" s="37"/>
      <c r="G93" s="37"/>
      <c r="H93" s="37"/>
      <c r="I93" s="37"/>
      <c r="J93" s="37"/>
      <c r="K93" s="37"/>
      <c r="L93" s="37"/>
    </row>
    <row r="94" spans="1:12">
      <c r="A94" s="37"/>
      <c r="B94" s="37"/>
      <c r="C94" s="37"/>
      <c r="D94" s="37"/>
      <c r="E94" s="37"/>
      <c r="F94" s="37"/>
      <c r="G94" s="37"/>
      <c r="H94" s="37"/>
      <c r="I94" s="37"/>
      <c r="J94" s="37"/>
      <c r="K94" s="37"/>
      <c r="L94" s="37"/>
    </row>
    <row r="95" spans="1:12">
      <c r="A95" s="37"/>
      <c r="B95" s="37"/>
      <c r="C95" s="37"/>
      <c r="D95" s="37"/>
      <c r="E95" s="37"/>
      <c r="F95" s="37"/>
      <c r="G95" s="37"/>
      <c r="H95" s="37"/>
      <c r="I95" s="37"/>
      <c r="J95" s="37"/>
      <c r="K95" s="37"/>
      <c r="L95" s="37"/>
    </row>
    <row r="96" spans="1:12">
      <c r="A96" s="37"/>
      <c r="B96" s="37"/>
      <c r="C96" s="37"/>
      <c r="D96" s="37"/>
      <c r="E96" s="37"/>
      <c r="F96" s="37"/>
      <c r="G96" s="37"/>
      <c r="H96" s="37"/>
      <c r="I96" s="37"/>
      <c r="J96" s="37"/>
      <c r="K96" s="37"/>
      <c r="L96" s="37"/>
    </row>
    <row r="97" spans="1:12">
      <c r="A97" s="37"/>
      <c r="B97" s="37"/>
      <c r="C97" s="37"/>
      <c r="D97" s="37"/>
      <c r="E97" s="37"/>
      <c r="F97" s="37"/>
      <c r="G97" s="37"/>
      <c r="H97" s="37"/>
      <c r="I97" s="37"/>
      <c r="J97" s="37"/>
      <c r="K97" s="37"/>
      <c r="L97" s="37"/>
    </row>
    <row r="98" spans="1:12">
      <c r="A98" s="37"/>
      <c r="B98" s="37"/>
      <c r="C98" s="37"/>
      <c r="D98" s="37"/>
      <c r="E98" s="37"/>
      <c r="F98" s="37"/>
      <c r="G98" s="37"/>
      <c r="H98" s="37"/>
      <c r="I98" s="37"/>
      <c r="J98" s="37"/>
      <c r="K98" s="37"/>
      <c r="L98" s="37"/>
    </row>
    <row r="99" spans="1:12">
      <c r="A99" s="37"/>
      <c r="B99" s="37"/>
      <c r="C99" s="37"/>
      <c r="D99" s="37"/>
      <c r="E99" s="37"/>
      <c r="F99" s="37"/>
      <c r="G99" s="37"/>
      <c r="H99" s="37"/>
      <c r="I99" s="37"/>
      <c r="J99" s="37"/>
      <c r="K99" s="37"/>
      <c r="L99" s="37"/>
    </row>
    <row r="100" spans="1:12">
      <c r="A100" s="37"/>
      <c r="B100" s="37"/>
      <c r="C100" s="37"/>
      <c r="D100" s="37"/>
      <c r="E100" s="37"/>
      <c r="F100" s="37"/>
      <c r="G100" s="37"/>
      <c r="H100" s="37"/>
      <c r="I100" s="37"/>
      <c r="J100" s="37"/>
      <c r="K100" s="37"/>
      <c r="L100" s="37"/>
    </row>
    <row r="101" spans="1:12">
      <c r="A101" s="37"/>
      <c r="B101" s="37"/>
      <c r="C101" s="37"/>
      <c r="D101" s="37"/>
      <c r="E101" s="37"/>
      <c r="F101" s="37"/>
      <c r="G101" s="37"/>
      <c r="H101" s="37"/>
      <c r="I101" s="37"/>
      <c r="J101" s="37"/>
      <c r="K101" s="37"/>
      <c r="L101" s="37"/>
    </row>
    <row r="102" spans="1:12">
      <c r="A102" s="37"/>
      <c r="B102" s="37"/>
      <c r="C102" s="37"/>
      <c r="D102" s="37"/>
      <c r="E102" s="37"/>
      <c r="F102" s="37"/>
      <c r="G102" s="37"/>
      <c r="H102" s="37"/>
      <c r="I102" s="37"/>
      <c r="J102" s="37"/>
      <c r="K102" s="37"/>
      <c r="L102" s="37"/>
    </row>
    <row r="103" spans="1:12">
      <c r="A103" s="37"/>
      <c r="B103" s="37"/>
      <c r="C103" s="37"/>
      <c r="D103" s="37"/>
      <c r="E103" s="37"/>
      <c r="F103" s="37"/>
      <c r="G103" s="37"/>
      <c r="H103" s="37"/>
      <c r="I103" s="37"/>
      <c r="J103" s="37"/>
      <c r="K103" s="37"/>
      <c r="L103" s="37"/>
    </row>
    <row r="104" spans="1:12">
      <c r="A104" s="37"/>
      <c r="B104" s="37"/>
      <c r="C104" s="37"/>
      <c r="D104" s="37"/>
      <c r="E104" s="37"/>
      <c r="F104" s="37"/>
      <c r="G104" s="37"/>
      <c r="H104" s="37"/>
      <c r="I104" s="37"/>
      <c r="J104" s="37"/>
      <c r="K104" s="37"/>
      <c r="L104" s="37"/>
    </row>
    <row r="105" spans="1:12">
      <c r="A105" s="37"/>
      <c r="B105" s="37"/>
      <c r="C105" s="37"/>
      <c r="D105" s="37"/>
      <c r="E105" s="37"/>
      <c r="F105" s="37"/>
      <c r="G105" s="37"/>
      <c r="H105" s="37"/>
      <c r="I105" s="37"/>
      <c r="J105" s="37"/>
      <c r="K105" s="37"/>
      <c r="L105" s="37"/>
    </row>
    <row r="106" spans="1:12">
      <c r="A106" s="37"/>
      <c r="B106" s="37"/>
      <c r="C106" s="37"/>
      <c r="D106" s="37"/>
      <c r="E106" s="37"/>
      <c r="F106" s="37"/>
      <c r="G106" s="37"/>
      <c r="H106" s="37"/>
      <c r="I106" s="37"/>
      <c r="J106" s="37"/>
      <c r="K106" s="37"/>
      <c r="L106" s="37"/>
    </row>
    <row r="107" spans="1:12">
      <c r="A107" s="37"/>
      <c r="B107" s="37"/>
      <c r="C107" s="37"/>
      <c r="D107" s="37"/>
      <c r="E107" s="37"/>
      <c r="F107" s="37"/>
      <c r="G107" s="37"/>
      <c r="H107" s="37"/>
      <c r="I107" s="37"/>
      <c r="J107" s="37"/>
      <c r="K107" s="37"/>
      <c r="L107" s="37"/>
    </row>
    <row r="108" spans="1:12">
      <c r="A108" s="37"/>
      <c r="B108" s="37"/>
      <c r="C108" s="37"/>
      <c r="D108" s="37"/>
      <c r="E108" s="37"/>
      <c r="F108" s="37"/>
      <c r="G108" s="37"/>
      <c r="H108" s="37"/>
      <c r="I108" s="37"/>
      <c r="J108" s="37"/>
      <c r="K108" s="37"/>
      <c r="L108" s="37"/>
    </row>
    <row r="109" spans="1:12">
      <c r="A109" s="37"/>
      <c r="B109" s="37"/>
      <c r="C109" s="37"/>
      <c r="D109" s="37"/>
      <c r="E109" s="37"/>
      <c r="F109" s="37"/>
      <c r="G109" s="37"/>
      <c r="H109" s="37"/>
      <c r="I109" s="37"/>
      <c r="J109" s="37"/>
      <c r="K109" s="37"/>
      <c r="L109" s="37"/>
    </row>
    <row r="110" spans="1:12">
      <c r="A110" s="37"/>
      <c r="B110" s="37"/>
      <c r="C110" s="37"/>
      <c r="D110" s="37"/>
      <c r="E110" s="37"/>
      <c r="F110" s="37"/>
      <c r="G110" s="37"/>
      <c r="H110" s="37"/>
      <c r="I110" s="37"/>
      <c r="J110" s="37"/>
      <c r="K110" s="37"/>
      <c r="L110" s="37"/>
    </row>
    <row r="111" spans="1:12">
      <c r="A111" s="37"/>
      <c r="B111" s="37"/>
      <c r="C111" s="37"/>
      <c r="D111" s="37"/>
      <c r="E111" s="37"/>
      <c r="F111" s="37"/>
      <c r="G111" s="37"/>
      <c r="H111" s="37"/>
      <c r="I111" s="37"/>
      <c r="J111" s="37"/>
      <c r="K111" s="37"/>
      <c r="L111" s="37"/>
    </row>
    <row r="112" spans="1:12">
      <c r="A112" s="37"/>
      <c r="B112" s="37"/>
      <c r="C112" s="37"/>
      <c r="D112" s="37"/>
      <c r="E112" s="37"/>
      <c r="F112" s="37"/>
      <c r="G112" s="37"/>
      <c r="H112" s="37"/>
      <c r="I112" s="37"/>
      <c r="J112" s="37"/>
      <c r="K112" s="37"/>
      <c r="L112" s="37"/>
    </row>
    <row r="113" spans="1:12">
      <c r="A113" s="37"/>
      <c r="B113" s="37"/>
      <c r="C113" s="37"/>
      <c r="D113" s="37"/>
      <c r="E113" s="37"/>
      <c r="F113" s="37"/>
      <c r="G113" s="37"/>
      <c r="H113" s="37"/>
      <c r="I113" s="37"/>
      <c r="J113" s="37"/>
      <c r="K113" s="37"/>
      <c r="L113" s="37"/>
    </row>
    <row r="114" spans="1:12">
      <c r="A114" s="37"/>
      <c r="B114" s="37"/>
      <c r="C114" s="37"/>
      <c r="D114" s="37"/>
      <c r="E114" s="37"/>
      <c r="F114" s="37"/>
      <c r="G114" s="37"/>
      <c r="H114" s="37"/>
      <c r="I114" s="37"/>
      <c r="J114" s="37"/>
      <c r="K114" s="37"/>
      <c r="L114" s="37"/>
    </row>
    <row r="115" spans="1:12">
      <c r="A115" s="37"/>
      <c r="B115" s="37"/>
      <c r="C115" s="37"/>
      <c r="D115" s="37"/>
      <c r="E115" s="37"/>
      <c r="F115" s="37"/>
      <c r="G115" s="37"/>
      <c r="H115" s="37"/>
      <c r="I115" s="37"/>
      <c r="J115" s="37"/>
      <c r="K115" s="37"/>
      <c r="L115" s="37"/>
    </row>
    <row r="116" spans="1:12">
      <c r="A116" s="37"/>
      <c r="B116" s="37"/>
      <c r="C116" s="37"/>
      <c r="D116" s="37"/>
      <c r="E116" s="37"/>
      <c r="F116" s="37"/>
      <c r="G116" s="37"/>
      <c r="H116" s="37"/>
      <c r="I116" s="37"/>
      <c r="J116" s="37"/>
      <c r="K116" s="37"/>
      <c r="L116" s="37"/>
    </row>
    <row r="117" spans="1:12">
      <c r="A117" s="37"/>
      <c r="B117" s="37"/>
      <c r="C117" s="37"/>
      <c r="D117" s="37"/>
      <c r="E117" s="37"/>
      <c r="F117" s="37"/>
      <c r="G117" s="37"/>
      <c r="H117" s="37"/>
      <c r="I117" s="37"/>
      <c r="J117" s="37"/>
      <c r="K117" s="37"/>
      <c r="L117" s="37"/>
    </row>
    <row r="118" spans="1:12">
      <c r="A118" s="37"/>
      <c r="B118" s="37"/>
      <c r="C118" s="37"/>
      <c r="D118" s="37"/>
      <c r="E118" s="37"/>
      <c r="F118" s="37"/>
      <c r="G118" s="37"/>
      <c r="H118" s="37"/>
      <c r="I118" s="37"/>
      <c r="J118" s="37"/>
      <c r="K118" s="37"/>
      <c r="L118" s="37"/>
    </row>
    <row r="119" spans="1:12">
      <c r="A119" s="37"/>
      <c r="B119" s="37"/>
      <c r="C119" s="37"/>
      <c r="D119" s="37"/>
      <c r="E119" s="37"/>
      <c r="F119" s="37"/>
      <c r="G119" s="37"/>
      <c r="H119" s="37"/>
      <c r="I119" s="37"/>
      <c r="J119" s="37"/>
      <c r="K119" s="37"/>
      <c r="L119" s="37"/>
    </row>
    <row r="120" spans="1:12">
      <c r="A120" s="37"/>
      <c r="B120" s="37"/>
      <c r="C120" s="37"/>
      <c r="D120" s="37"/>
      <c r="E120" s="37"/>
      <c r="F120" s="37"/>
      <c r="G120" s="37"/>
      <c r="H120" s="37"/>
      <c r="I120" s="37"/>
      <c r="J120" s="37"/>
      <c r="K120" s="37"/>
      <c r="L120" s="37"/>
    </row>
    <row r="121" spans="1:12">
      <c r="A121" s="37"/>
      <c r="B121" s="37"/>
      <c r="C121" s="37"/>
      <c r="D121" s="37"/>
      <c r="E121" s="37"/>
      <c r="F121" s="37"/>
      <c r="G121" s="37"/>
      <c r="H121" s="37"/>
      <c r="I121" s="37"/>
      <c r="J121" s="37"/>
      <c r="K121" s="37"/>
      <c r="L121" s="37"/>
    </row>
    <row r="122" spans="1:12">
      <c r="A122" s="37"/>
      <c r="B122" s="37"/>
      <c r="C122" s="37"/>
      <c r="D122" s="37"/>
      <c r="E122" s="37"/>
      <c r="F122" s="37"/>
      <c r="G122" s="37"/>
      <c r="H122" s="37"/>
      <c r="I122" s="37"/>
      <c r="J122" s="37"/>
      <c r="K122" s="37"/>
      <c r="L122" s="37"/>
    </row>
    <row r="123" spans="1:12">
      <c r="A123" s="37"/>
      <c r="B123" s="37"/>
      <c r="C123" s="37"/>
      <c r="D123" s="37"/>
      <c r="E123" s="37"/>
      <c r="F123" s="37"/>
      <c r="G123" s="37"/>
      <c r="H123" s="37"/>
      <c r="I123" s="37"/>
      <c r="J123" s="37"/>
      <c r="K123" s="37"/>
      <c r="L123" s="37"/>
    </row>
    <row r="124" spans="1:12">
      <c r="A124" s="37"/>
      <c r="B124" s="37"/>
      <c r="C124" s="37"/>
      <c r="D124" s="37"/>
      <c r="E124" s="37"/>
      <c r="F124" s="37"/>
      <c r="G124" s="37"/>
      <c r="H124" s="37"/>
      <c r="I124" s="37"/>
      <c r="J124" s="37"/>
      <c r="K124" s="37"/>
      <c r="L124" s="37"/>
    </row>
    <row r="125" spans="1:12">
      <c r="A125" s="37"/>
      <c r="B125" s="37"/>
      <c r="C125" s="37"/>
      <c r="D125" s="37"/>
      <c r="E125" s="37"/>
      <c r="F125" s="37"/>
      <c r="G125" s="37"/>
      <c r="H125" s="37"/>
      <c r="I125" s="37"/>
      <c r="J125" s="37"/>
      <c r="K125" s="37"/>
      <c r="L125" s="37"/>
    </row>
    <row r="126" spans="1:12">
      <c r="A126" s="37"/>
      <c r="B126" s="37"/>
      <c r="C126" s="37"/>
      <c r="D126" s="37"/>
      <c r="E126" s="37"/>
      <c r="F126" s="37"/>
      <c r="G126" s="37"/>
      <c r="H126" s="37"/>
      <c r="I126" s="37"/>
      <c r="J126" s="37"/>
      <c r="K126" s="37"/>
      <c r="L126" s="37"/>
    </row>
    <row r="127" spans="1:12">
      <c r="A127" s="37"/>
      <c r="B127" s="37"/>
      <c r="C127" s="37"/>
      <c r="D127" s="37"/>
      <c r="E127" s="37"/>
      <c r="F127" s="37"/>
      <c r="G127" s="37"/>
      <c r="H127" s="37"/>
      <c r="I127" s="37"/>
      <c r="J127" s="37"/>
      <c r="K127" s="37"/>
      <c r="L127" s="37"/>
    </row>
    <row r="128" spans="1:12">
      <c r="A128" s="37"/>
      <c r="B128" s="37"/>
      <c r="C128" s="37"/>
      <c r="D128" s="37"/>
      <c r="E128" s="37"/>
      <c r="F128" s="37"/>
      <c r="G128" s="37"/>
      <c r="H128" s="37"/>
      <c r="I128" s="37"/>
      <c r="J128" s="37"/>
      <c r="K128" s="37"/>
      <c r="L128" s="37"/>
    </row>
    <row r="129" spans="1:12">
      <c r="A129" s="37"/>
      <c r="B129" s="37"/>
      <c r="C129" s="37"/>
      <c r="D129" s="37"/>
      <c r="E129" s="37"/>
      <c r="F129" s="37"/>
      <c r="G129" s="37"/>
      <c r="H129" s="37"/>
      <c r="I129" s="37"/>
      <c r="J129" s="37"/>
      <c r="K129" s="37"/>
      <c r="L129" s="37"/>
    </row>
    <row r="130" spans="1:12">
      <c r="A130" s="37"/>
      <c r="B130" s="37"/>
      <c r="C130" s="37"/>
      <c r="D130" s="37"/>
      <c r="E130" s="37"/>
      <c r="F130" s="37"/>
      <c r="G130" s="37"/>
      <c r="H130" s="37"/>
      <c r="I130" s="37"/>
      <c r="J130" s="37"/>
      <c r="K130" s="37"/>
      <c r="L130" s="37"/>
    </row>
    <row r="131" spans="1:12">
      <c r="A131" s="37"/>
      <c r="B131" s="37"/>
      <c r="C131" s="37"/>
      <c r="D131" s="37"/>
      <c r="E131" s="37"/>
      <c r="F131" s="37"/>
      <c r="G131" s="37"/>
      <c r="H131" s="37"/>
      <c r="I131" s="37"/>
      <c r="J131" s="37"/>
      <c r="K131" s="37"/>
      <c r="L131" s="37"/>
    </row>
    <row r="132" spans="1:12">
      <c r="A132" s="37"/>
      <c r="B132" s="37"/>
      <c r="C132" s="37"/>
      <c r="D132" s="37"/>
      <c r="E132" s="37"/>
      <c r="F132" s="37"/>
      <c r="G132" s="37"/>
      <c r="H132" s="37"/>
      <c r="I132" s="37"/>
      <c r="J132" s="37"/>
      <c r="K132" s="37"/>
      <c r="L132" s="37"/>
    </row>
    <row r="133" spans="1:12">
      <c r="A133" s="37"/>
      <c r="B133" s="37"/>
      <c r="C133" s="37"/>
      <c r="D133" s="37"/>
      <c r="E133" s="37"/>
      <c r="F133" s="37"/>
      <c r="G133" s="37"/>
      <c r="H133" s="37"/>
      <c r="I133" s="37"/>
      <c r="J133" s="37"/>
      <c r="K133" s="37"/>
      <c r="L133" s="37"/>
    </row>
    <row r="134" spans="1:12">
      <c r="A134" s="37"/>
      <c r="B134" s="37"/>
      <c r="C134" s="37"/>
      <c r="D134" s="37"/>
      <c r="E134" s="37"/>
      <c r="F134" s="37"/>
      <c r="G134" s="37"/>
      <c r="H134" s="37"/>
      <c r="I134" s="37"/>
      <c r="J134" s="37"/>
      <c r="K134" s="37"/>
      <c r="L134" s="37"/>
    </row>
    <row r="135" spans="1:12">
      <c r="A135" s="37"/>
      <c r="B135" s="37"/>
      <c r="C135" s="37"/>
      <c r="D135" s="37"/>
      <c r="E135" s="37"/>
      <c r="F135" s="37"/>
      <c r="G135" s="37"/>
      <c r="H135" s="37"/>
      <c r="I135" s="37"/>
      <c r="J135" s="37"/>
      <c r="K135" s="37"/>
      <c r="L135" s="37"/>
    </row>
    <row r="136" spans="1:12">
      <c r="A136" s="37"/>
      <c r="B136" s="37"/>
      <c r="C136" s="37"/>
      <c r="D136" s="37"/>
      <c r="E136" s="37"/>
      <c r="F136" s="37"/>
      <c r="G136" s="37"/>
      <c r="H136" s="37"/>
      <c r="I136" s="37"/>
      <c r="J136" s="37"/>
      <c r="K136" s="37"/>
      <c r="L136" s="37"/>
    </row>
    <row r="137" spans="1:12">
      <c r="A137" s="37"/>
      <c r="B137" s="37"/>
      <c r="C137" s="37"/>
      <c r="D137" s="37"/>
      <c r="E137" s="37"/>
      <c r="F137" s="37"/>
      <c r="G137" s="37"/>
      <c r="H137" s="37"/>
      <c r="I137" s="37"/>
      <c r="J137" s="37"/>
      <c r="K137" s="37"/>
      <c r="L137" s="37"/>
    </row>
    <row r="138" spans="1:12">
      <c r="A138" s="37"/>
      <c r="B138" s="37"/>
      <c r="C138" s="37"/>
      <c r="D138" s="37"/>
      <c r="E138" s="37"/>
      <c r="F138" s="37"/>
      <c r="G138" s="37"/>
      <c r="H138" s="37"/>
      <c r="I138" s="37"/>
      <c r="J138" s="37"/>
      <c r="K138" s="37"/>
      <c r="L138" s="37"/>
    </row>
    <row r="139" spans="1:12">
      <c r="A139" s="37"/>
      <c r="B139" s="37"/>
      <c r="C139" s="37"/>
      <c r="D139" s="37"/>
      <c r="E139" s="37"/>
      <c r="F139" s="37"/>
      <c r="G139" s="37"/>
      <c r="H139" s="37"/>
      <c r="I139" s="37"/>
      <c r="J139" s="37"/>
      <c r="K139" s="37"/>
      <c r="L139" s="37"/>
    </row>
    <row r="140" spans="1:12">
      <c r="A140" s="37"/>
      <c r="B140" s="37"/>
      <c r="C140" s="37"/>
      <c r="D140" s="37"/>
      <c r="E140" s="37"/>
      <c r="F140" s="37"/>
      <c r="G140" s="37"/>
      <c r="H140" s="37"/>
      <c r="I140" s="37"/>
      <c r="J140" s="37"/>
      <c r="K140" s="37"/>
      <c r="L140" s="37"/>
    </row>
    <row r="141" spans="1:12">
      <c r="A141" s="37"/>
      <c r="B141" s="37"/>
      <c r="C141" s="37"/>
      <c r="D141" s="37"/>
      <c r="E141" s="37"/>
      <c r="F141" s="37"/>
      <c r="G141" s="37"/>
      <c r="H141" s="37"/>
      <c r="I141" s="37"/>
      <c r="J141" s="37"/>
      <c r="K141" s="37"/>
      <c r="L141" s="37"/>
    </row>
    <row r="142" spans="1:12">
      <c r="A142" s="37"/>
      <c r="B142" s="37"/>
      <c r="C142" s="37"/>
      <c r="D142" s="37"/>
      <c r="E142" s="37"/>
      <c r="F142" s="37"/>
      <c r="G142" s="37"/>
      <c r="H142" s="37"/>
      <c r="I142" s="37"/>
      <c r="J142" s="37"/>
      <c r="K142" s="37"/>
      <c r="L142" s="37"/>
    </row>
    <row r="143" spans="1:12">
      <c r="A143" s="37"/>
      <c r="B143" s="37"/>
      <c r="C143" s="37"/>
      <c r="D143" s="37"/>
      <c r="E143" s="37"/>
      <c r="F143" s="37"/>
      <c r="G143" s="37"/>
      <c r="H143" s="37"/>
      <c r="I143" s="37"/>
      <c r="J143" s="37"/>
      <c r="K143" s="37"/>
      <c r="L143" s="37"/>
    </row>
    <row r="144" spans="1:12">
      <c r="A144" s="37"/>
      <c r="B144" s="37"/>
      <c r="C144" s="37"/>
      <c r="D144" s="37"/>
      <c r="E144" s="37"/>
      <c r="F144" s="37"/>
      <c r="G144" s="37"/>
      <c r="H144" s="37"/>
      <c r="I144" s="37"/>
      <c r="J144" s="37"/>
      <c r="K144" s="37"/>
      <c r="L144" s="37"/>
    </row>
    <row r="145" spans="1:12">
      <c r="A145" s="37"/>
      <c r="B145" s="37"/>
      <c r="C145" s="37"/>
      <c r="D145" s="37"/>
      <c r="E145" s="37"/>
      <c r="F145" s="37"/>
      <c r="G145" s="37"/>
      <c r="H145" s="37"/>
      <c r="I145" s="37"/>
      <c r="J145" s="37"/>
      <c r="K145" s="37"/>
      <c r="L145" s="37"/>
    </row>
    <row r="146" spans="1:12">
      <c r="A146" s="37"/>
      <c r="B146" s="37"/>
      <c r="C146" s="37"/>
      <c r="D146" s="37"/>
      <c r="E146" s="37"/>
      <c r="F146" s="37"/>
      <c r="G146" s="37"/>
      <c r="H146" s="37"/>
      <c r="I146" s="37"/>
      <c r="J146" s="37"/>
      <c r="K146" s="37"/>
      <c r="L146" s="37"/>
    </row>
    <row r="147" spans="1:12">
      <c r="A147" s="37"/>
      <c r="B147" s="37"/>
      <c r="C147" s="37"/>
      <c r="D147" s="37"/>
      <c r="E147" s="37"/>
      <c r="F147" s="37"/>
      <c r="G147" s="37"/>
      <c r="H147" s="37"/>
      <c r="I147" s="37"/>
      <c r="J147" s="37"/>
      <c r="K147" s="37"/>
      <c r="L147" s="37"/>
    </row>
    <row r="148" spans="1:12">
      <c r="A148" s="37"/>
      <c r="B148" s="37"/>
      <c r="C148" s="37"/>
      <c r="D148" s="37"/>
      <c r="E148" s="37"/>
      <c r="F148" s="37"/>
      <c r="G148" s="37"/>
      <c r="H148" s="37"/>
      <c r="I148" s="37"/>
      <c r="J148" s="37"/>
      <c r="K148" s="37"/>
      <c r="L148" s="37"/>
    </row>
    <row r="149" spans="1:12">
      <c r="A149" s="37"/>
      <c r="B149" s="37"/>
      <c r="C149" s="37"/>
      <c r="D149" s="37"/>
      <c r="E149" s="37"/>
      <c r="F149" s="37"/>
      <c r="G149" s="37"/>
      <c r="H149" s="37"/>
      <c r="I149" s="37"/>
      <c r="J149" s="37"/>
      <c r="K149" s="37"/>
      <c r="L149" s="37"/>
    </row>
    <row r="150" spans="1:12">
      <c r="A150" s="37"/>
      <c r="B150" s="37"/>
      <c r="C150" s="37"/>
      <c r="D150" s="37"/>
      <c r="E150" s="37"/>
      <c r="F150" s="37"/>
      <c r="G150" s="37"/>
      <c r="H150" s="37"/>
      <c r="I150" s="37"/>
      <c r="J150" s="37"/>
      <c r="K150" s="37"/>
      <c r="L150" s="37"/>
    </row>
    <row r="151" spans="1:12">
      <c r="A151" s="37"/>
      <c r="B151" s="37"/>
      <c r="C151" s="37"/>
      <c r="D151" s="37"/>
      <c r="E151" s="37"/>
      <c r="F151" s="37"/>
      <c r="G151" s="37"/>
      <c r="H151" s="37"/>
      <c r="I151" s="37"/>
      <c r="J151" s="37"/>
      <c r="K151" s="37"/>
      <c r="L151" s="37"/>
    </row>
    <row r="152" spans="1:12">
      <c r="A152" s="37"/>
      <c r="B152" s="37"/>
      <c r="C152" s="37"/>
      <c r="D152" s="37"/>
      <c r="E152" s="37"/>
      <c r="F152" s="37"/>
      <c r="G152" s="37"/>
      <c r="H152" s="37"/>
      <c r="I152" s="37"/>
      <c r="J152" s="37"/>
      <c r="K152" s="37"/>
      <c r="L152" s="37"/>
    </row>
    <row r="153" spans="1:12">
      <c r="A153" s="37"/>
      <c r="B153" s="37"/>
      <c r="C153" s="37"/>
      <c r="D153" s="37"/>
      <c r="E153" s="37"/>
      <c r="F153" s="37"/>
      <c r="G153" s="37"/>
      <c r="H153" s="37"/>
      <c r="I153" s="37"/>
      <c r="J153" s="37"/>
      <c r="K153" s="37"/>
      <c r="L153" s="37"/>
    </row>
    <row r="154" spans="1:12">
      <c r="A154" s="37"/>
      <c r="B154" s="37"/>
      <c r="C154" s="37"/>
      <c r="D154" s="37"/>
      <c r="E154" s="37"/>
      <c r="F154" s="37"/>
      <c r="G154" s="37"/>
      <c r="H154" s="37"/>
      <c r="I154" s="37"/>
      <c r="J154" s="37"/>
      <c r="K154" s="37"/>
      <c r="L154" s="37"/>
    </row>
    <row r="155" spans="1:12">
      <c r="A155" s="37"/>
      <c r="B155" s="37"/>
      <c r="C155" s="37"/>
      <c r="D155" s="37"/>
      <c r="E155" s="37"/>
      <c r="F155" s="37"/>
      <c r="G155" s="37"/>
      <c r="H155" s="37"/>
      <c r="I155" s="37"/>
      <c r="J155" s="37"/>
      <c r="K155" s="37"/>
      <c r="L155" s="37"/>
    </row>
    <row r="156" spans="1:12">
      <c r="A156" s="37"/>
      <c r="B156" s="37"/>
      <c r="C156" s="37"/>
      <c r="D156" s="37"/>
      <c r="E156" s="37"/>
      <c r="F156" s="37"/>
      <c r="G156" s="37"/>
      <c r="H156" s="37"/>
      <c r="I156" s="37"/>
      <c r="J156" s="37"/>
      <c r="K156" s="37"/>
      <c r="L156" s="37"/>
    </row>
    <row r="157" spans="1:12">
      <c r="A157" s="37"/>
      <c r="B157" s="37"/>
      <c r="C157" s="37"/>
      <c r="D157" s="37"/>
      <c r="E157" s="37"/>
      <c r="F157" s="37"/>
      <c r="G157" s="37"/>
      <c r="H157" s="37"/>
      <c r="I157" s="37"/>
      <c r="J157" s="37"/>
      <c r="K157" s="37"/>
      <c r="L157" s="37"/>
    </row>
    <row r="158" spans="1:12">
      <c r="A158" s="37"/>
      <c r="B158" s="37"/>
      <c r="C158" s="37"/>
      <c r="D158" s="37"/>
      <c r="E158" s="37"/>
      <c r="F158" s="37"/>
      <c r="G158" s="37"/>
      <c r="H158" s="37"/>
      <c r="I158" s="37"/>
      <c r="J158" s="37"/>
      <c r="K158" s="37"/>
      <c r="L158" s="37"/>
    </row>
    <row r="159" spans="1:12">
      <c r="A159" s="37"/>
      <c r="B159" s="37"/>
      <c r="C159" s="37"/>
      <c r="D159" s="37"/>
      <c r="E159" s="37"/>
      <c r="F159" s="37"/>
      <c r="G159" s="37"/>
      <c r="H159" s="37"/>
      <c r="I159" s="37"/>
      <c r="J159" s="37"/>
      <c r="K159" s="37"/>
      <c r="L159" s="37"/>
    </row>
    <row r="160" spans="1:12">
      <c r="A160" s="37"/>
      <c r="B160" s="37"/>
      <c r="C160" s="37"/>
      <c r="D160" s="37"/>
      <c r="E160" s="37"/>
      <c r="F160" s="37"/>
      <c r="G160" s="37"/>
      <c r="H160" s="37"/>
      <c r="I160" s="37"/>
      <c r="J160" s="37"/>
      <c r="K160" s="37"/>
      <c r="L160" s="37"/>
    </row>
    <row r="161" spans="1:12">
      <c r="A161" s="37"/>
      <c r="B161" s="37"/>
      <c r="C161" s="37"/>
      <c r="D161" s="37"/>
      <c r="E161" s="37"/>
      <c r="F161" s="37"/>
      <c r="G161" s="37"/>
      <c r="H161" s="37"/>
      <c r="I161" s="37"/>
      <c r="J161" s="37"/>
      <c r="K161" s="37"/>
      <c r="L161" s="37"/>
    </row>
    <row r="162" spans="1:12">
      <c r="A162" s="37"/>
      <c r="B162" s="37"/>
      <c r="C162" s="37"/>
      <c r="D162" s="37"/>
      <c r="E162" s="37"/>
      <c r="F162" s="37"/>
      <c r="G162" s="37"/>
      <c r="H162" s="37"/>
      <c r="I162" s="37"/>
      <c r="J162" s="37"/>
      <c r="K162" s="37"/>
      <c r="L162" s="37"/>
    </row>
    <row r="163" spans="1:12">
      <c r="A163" s="37"/>
      <c r="B163" s="37"/>
      <c r="C163" s="37"/>
      <c r="D163" s="37"/>
      <c r="E163" s="37"/>
      <c r="F163" s="37"/>
      <c r="G163" s="37"/>
      <c r="H163" s="37"/>
      <c r="I163" s="37"/>
      <c r="J163" s="37"/>
      <c r="K163" s="37"/>
      <c r="L163" s="37"/>
    </row>
    <row r="164" spans="1:12">
      <c r="A164" s="37"/>
      <c r="B164" s="37"/>
      <c r="C164" s="37"/>
      <c r="D164" s="37"/>
      <c r="E164" s="37"/>
      <c r="F164" s="37"/>
      <c r="G164" s="37"/>
      <c r="H164" s="37"/>
      <c r="I164" s="37"/>
      <c r="J164" s="37"/>
      <c r="K164" s="37"/>
      <c r="L164" s="37"/>
    </row>
    <row r="165" spans="1:12">
      <c r="A165" s="37"/>
      <c r="B165" s="37"/>
      <c r="C165" s="37"/>
      <c r="D165" s="37"/>
      <c r="E165" s="37"/>
      <c r="F165" s="37"/>
      <c r="G165" s="37"/>
      <c r="H165" s="37"/>
      <c r="I165" s="37"/>
      <c r="J165" s="37"/>
      <c r="K165" s="37"/>
      <c r="L165" s="37"/>
    </row>
    <row r="166" spans="1:12">
      <c r="A166" s="37"/>
      <c r="B166" s="37"/>
      <c r="C166" s="37"/>
      <c r="D166" s="37"/>
      <c r="E166" s="37"/>
      <c r="F166" s="37"/>
      <c r="G166" s="37"/>
      <c r="H166" s="37"/>
      <c r="I166" s="37"/>
      <c r="J166" s="37"/>
      <c r="K166" s="37"/>
      <c r="L166" s="37"/>
    </row>
    <row r="167" spans="1:12">
      <c r="A167" s="37"/>
      <c r="B167" s="37"/>
      <c r="C167" s="37"/>
      <c r="D167" s="37"/>
      <c r="E167" s="37"/>
      <c r="F167" s="37"/>
      <c r="G167" s="37"/>
      <c r="H167" s="37"/>
      <c r="I167" s="37"/>
      <c r="J167" s="37"/>
      <c r="K167" s="37"/>
      <c r="L167" s="37"/>
    </row>
    <row r="168" spans="1:12">
      <c r="A168" s="37"/>
      <c r="B168" s="37"/>
      <c r="C168" s="37"/>
      <c r="D168" s="37"/>
      <c r="E168" s="37"/>
      <c r="F168" s="37"/>
      <c r="G168" s="37"/>
      <c r="H168" s="37"/>
      <c r="I168" s="37"/>
      <c r="J168" s="37"/>
      <c r="K168" s="37"/>
      <c r="L168" s="37"/>
    </row>
    <row r="169" spans="1:12">
      <c r="A169" s="37"/>
      <c r="B169" s="37"/>
      <c r="C169" s="37"/>
      <c r="D169" s="37"/>
      <c r="E169" s="37"/>
      <c r="F169" s="37"/>
      <c r="G169" s="37"/>
      <c r="H169" s="37"/>
      <c r="I169" s="37"/>
      <c r="J169" s="37"/>
      <c r="K169" s="37"/>
      <c r="L169" s="37"/>
    </row>
    <row r="170" spans="1:12">
      <c r="A170" s="37"/>
      <c r="B170" s="37"/>
      <c r="C170" s="37"/>
      <c r="D170" s="37"/>
      <c r="E170" s="37"/>
      <c r="F170" s="37"/>
      <c r="G170" s="37"/>
      <c r="H170" s="37"/>
      <c r="I170" s="37"/>
      <c r="J170" s="37"/>
      <c r="K170" s="37"/>
      <c r="L170" s="37"/>
    </row>
    <row r="171" spans="1:12">
      <c r="A171" s="37"/>
      <c r="B171" s="37"/>
      <c r="C171" s="37"/>
      <c r="D171" s="37"/>
      <c r="E171" s="37"/>
      <c r="F171" s="37"/>
      <c r="G171" s="37"/>
      <c r="H171" s="37"/>
      <c r="I171" s="37"/>
      <c r="J171" s="37"/>
      <c r="K171" s="37"/>
      <c r="L171" s="37"/>
    </row>
    <row r="172" spans="1:12">
      <c r="A172" s="37"/>
      <c r="B172" s="37"/>
      <c r="C172" s="37"/>
      <c r="D172" s="37"/>
      <c r="E172" s="37"/>
      <c r="F172" s="37"/>
      <c r="G172" s="37"/>
      <c r="H172" s="37"/>
      <c r="I172" s="37"/>
      <c r="J172" s="37"/>
      <c r="K172" s="37"/>
      <c r="L172" s="37"/>
    </row>
    <row r="173" spans="1:12">
      <c r="A173" s="37"/>
      <c r="B173" s="37"/>
      <c r="C173" s="37"/>
      <c r="D173" s="37"/>
      <c r="E173" s="37"/>
      <c r="F173" s="37"/>
      <c r="G173" s="37"/>
      <c r="H173" s="37"/>
      <c r="I173" s="37"/>
      <c r="J173" s="37"/>
      <c r="K173" s="37"/>
      <c r="L173" s="37"/>
    </row>
    <row r="174" spans="1:12">
      <c r="A174" s="37"/>
      <c r="B174" s="37"/>
      <c r="C174" s="37"/>
      <c r="D174" s="37"/>
      <c r="E174" s="37"/>
      <c r="F174" s="37"/>
      <c r="G174" s="37"/>
      <c r="H174" s="37"/>
      <c r="I174" s="37"/>
      <c r="J174" s="37"/>
      <c r="K174" s="37"/>
      <c r="L174" s="37"/>
    </row>
    <row r="175" spans="1:12">
      <c r="A175" s="37"/>
      <c r="B175" s="37"/>
      <c r="C175" s="37"/>
      <c r="D175" s="37"/>
      <c r="E175" s="37"/>
      <c r="F175" s="37"/>
      <c r="G175" s="37"/>
      <c r="H175" s="37"/>
      <c r="I175" s="37"/>
      <c r="J175" s="37"/>
      <c r="K175" s="37"/>
      <c r="L175" s="37"/>
    </row>
    <row r="176" spans="1:12">
      <c r="A176" s="37"/>
      <c r="B176" s="37"/>
      <c r="C176" s="37"/>
      <c r="D176" s="37"/>
      <c r="E176" s="37"/>
      <c r="F176" s="37"/>
      <c r="G176" s="37"/>
      <c r="H176" s="37"/>
      <c r="I176" s="37"/>
      <c r="J176" s="37"/>
      <c r="K176" s="37"/>
      <c r="L176" s="37"/>
    </row>
    <row r="177" spans="1:12">
      <c r="A177" s="37"/>
      <c r="B177" s="37"/>
      <c r="C177" s="37"/>
      <c r="D177" s="37"/>
      <c r="E177" s="37"/>
      <c r="F177" s="37"/>
      <c r="G177" s="37"/>
      <c r="H177" s="37"/>
      <c r="I177" s="37"/>
      <c r="J177" s="37"/>
      <c r="K177" s="37"/>
      <c r="L177" s="37"/>
    </row>
    <row r="178" spans="1:12">
      <c r="A178" s="37"/>
      <c r="B178" s="37"/>
      <c r="C178" s="37"/>
      <c r="D178" s="37"/>
      <c r="E178" s="37"/>
      <c r="F178" s="37"/>
      <c r="G178" s="37"/>
      <c r="H178" s="37"/>
      <c r="I178" s="37"/>
      <c r="J178" s="37"/>
      <c r="K178" s="37"/>
      <c r="L178" s="37"/>
    </row>
    <row r="179" spans="1:12">
      <c r="A179" s="37"/>
      <c r="B179" s="37"/>
      <c r="C179" s="37"/>
      <c r="D179" s="37"/>
      <c r="E179" s="37"/>
      <c r="F179" s="37"/>
      <c r="G179" s="37"/>
      <c r="H179" s="37"/>
      <c r="I179" s="37"/>
      <c r="J179" s="37"/>
      <c r="K179" s="37"/>
      <c r="L179" s="37"/>
    </row>
    <row r="180" spans="1:12">
      <c r="A180" s="37"/>
      <c r="B180" s="37"/>
      <c r="C180" s="37"/>
      <c r="D180" s="37"/>
      <c r="E180" s="37"/>
      <c r="F180" s="37"/>
      <c r="G180" s="37"/>
      <c r="H180" s="37"/>
      <c r="I180" s="37"/>
      <c r="J180" s="37"/>
      <c r="K180" s="37"/>
      <c r="L180" s="37"/>
    </row>
    <row r="181" spans="1:12">
      <c r="A181" s="37"/>
      <c r="B181" s="37"/>
      <c r="C181" s="37"/>
      <c r="D181" s="37"/>
      <c r="E181" s="37"/>
      <c r="F181" s="37"/>
      <c r="G181" s="37"/>
      <c r="H181" s="37"/>
      <c r="I181" s="37"/>
      <c r="J181" s="37"/>
      <c r="K181" s="37"/>
      <c r="L181" s="37"/>
    </row>
    <row r="182" spans="1:12">
      <c r="A182" s="37"/>
      <c r="B182" s="37"/>
      <c r="C182" s="37"/>
      <c r="D182" s="37"/>
      <c r="E182" s="37"/>
      <c r="F182" s="37"/>
      <c r="G182" s="37"/>
      <c r="H182" s="37"/>
      <c r="I182" s="37"/>
      <c r="J182" s="37"/>
      <c r="K182" s="37"/>
      <c r="L182" s="37"/>
    </row>
    <row r="183" spans="1:12">
      <c r="A183" s="37"/>
      <c r="B183" s="37"/>
      <c r="C183" s="37"/>
      <c r="D183" s="37"/>
      <c r="E183" s="37"/>
      <c r="F183" s="37"/>
      <c r="G183" s="37"/>
      <c r="H183" s="37"/>
      <c r="I183" s="37"/>
      <c r="J183" s="37"/>
      <c r="K183" s="37"/>
      <c r="L183" s="37"/>
    </row>
    <row r="184" spans="1:12">
      <c r="A184" s="37"/>
      <c r="B184" s="37"/>
      <c r="C184" s="37"/>
      <c r="D184" s="37"/>
      <c r="E184" s="37"/>
      <c r="F184" s="37"/>
      <c r="G184" s="37"/>
      <c r="H184" s="37"/>
      <c r="I184" s="37"/>
      <c r="J184" s="37"/>
      <c r="K184" s="37"/>
      <c r="L184" s="37"/>
    </row>
    <row r="185" spans="1:12">
      <c r="A185" s="37"/>
      <c r="B185" s="37"/>
      <c r="C185" s="37"/>
      <c r="D185" s="37"/>
      <c r="E185" s="37"/>
      <c r="F185" s="37"/>
      <c r="G185" s="37"/>
      <c r="H185" s="37"/>
      <c r="I185" s="37"/>
      <c r="J185" s="37"/>
      <c r="K185" s="37"/>
      <c r="L185" s="37"/>
    </row>
    <row r="186" spans="1:12">
      <c r="A186" s="37"/>
      <c r="B186" s="37"/>
      <c r="C186" s="37"/>
      <c r="D186" s="37"/>
      <c r="E186" s="37"/>
      <c r="F186" s="37"/>
      <c r="G186" s="37"/>
      <c r="H186" s="37"/>
      <c r="I186" s="37"/>
      <c r="J186" s="37"/>
      <c r="K186" s="37"/>
      <c r="L186" s="37"/>
    </row>
    <row r="187" spans="1:12">
      <c r="A187" s="37"/>
      <c r="B187" s="37"/>
      <c r="C187" s="37"/>
      <c r="D187" s="37"/>
      <c r="E187" s="37"/>
      <c r="F187" s="37"/>
      <c r="G187" s="37"/>
      <c r="H187" s="37"/>
      <c r="I187" s="37"/>
      <c r="J187" s="37"/>
      <c r="K187" s="37"/>
      <c r="L187" s="37"/>
    </row>
    <row r="188" spans="1:12">
      <c r="A188" s="37"/>
      <c r="B188" s="37"/>
      <c r="C188" s="37"/>
      <c r="D188" s="37"/>
      <c r="E188" s="37"/>
      <c r="F188" s="37"/>
      <c r="G188" s="37"/>
      <c r="H188" s="37"/>
      <c r="I188" s="37"/>
      <c r="J188" s="37"/>
      <c r="K188" s="37"/>
      <c r="L188" s="37"/>
    </row>
    <row r="189" spans="1:12">
      <c r="A189" s="37"/>
      <c r="B189" s="37"/>
      <c r="C189" s="37"/>
      <c r="D189" s="37"/>
      <c r="E189" s="37"/>
      <c r="F189" s="37"/>
      <c r="G189" s="37"/>
      <c r="H189" s="37"/>
      <c r="I189" s="37"/>
      <c r="J189" s="37"/>
      <c r="K189" s="37"/>
      <c r="L189" s="37"/>
    </row>
    <row r="190" spans="1:12">
      <c r="A190" s="37"/>
      <c r="B190" s="37"/>
      <c r="C190" s="37"/>
      <c r="D190" s="37"/>
      <c r="E190" s="37"/>
      <c r="F190" s="37"/>
      <c r="G190" s="37"/>
      <c r="H190" s="37"/>
      <c r="I190" s="37"/>
      <c r="J190" s="37"/>
      <c r="K190" s="37"/>
      <c r="L190" s="37"/>
    </row>
    <row r="191" spans="1:12">
      <c r="A191" s="37"/>
      <c r="B191" s="37"/>
      <c r="C191" s="37"/>
      <c r="D191" s="37"/>
      <c r="E191" s="37"/>
      <c r="F191" s="37"/>
      <c r="G191" s="37"/>
      <c r="H191" s="37"/>
      <c r="I191" s="37"/>
      <c r="J191" s="37"/>
      <c r="K191" s="37"/>
      <c r="L191" s="37"/>
    </row>
    <row r="192" spans="1:12">
      <c r="A192" s="37"/>
      <c r="B192" s="37"/>
      <c r="C192" s="37"/>
      <c r="D192" s="37"/>
      <c r="E192" s="37"/>
      <c r="F192" s="37"/>
      <c r="G192" s="37"/>
      <c r="H192" s="37"/>
      <c r="I192" s="37"/>
      <c r="J192" s="37"/>
      <c r="K192" s="37"/>
      <c r="L192" s="37"/>
    </row>
    <row r="193" spans="1:12">
      <c r="A193" s="37"/>
      <c r="B193" s="37"/>
      <c r="C193" s="37"/>
      <c r="D193" s="37"/>
      <c r="E193" s="37"/>
      <c r="F193" s="37"/>
      <c r="G193" s="37"/>
      <c r="H193" s="37"/>
      <c r="I193" s="37"/>
      <c r="J193" s="37"/>
      <c r="K193" s="37"/>
      <c r="L193" s="37"/>
    </row>
    <row r="194" spans="1:12">
      <c r="A194" s="37"/>
      <c r="B194" s="37"/>
      <c r="C194" s="37"/>
      <c r="D194" s="37"/>
      <c r="E194" s="37"/>
      <c r="F194" s="37"/>
      <c r="G194" s="37"/>
      <c r="H194" s="37"/>
      <c r="I194" s="37"/>
      <c r="J194" s="37"/>
      <c r="K194" s="37"/>
      <c r="L194" s="37"/>
    </row>
    <row r="195" spans="1:12">
      <c r="A195" s="37"/>
      <c r="B195" s="37"/>
      <c r="C195" s="37"/>
      <c r="D195" s="37"/>
      <c r="E195" s="37"/>
      <c r="F195" s="37"/>
      <c r="G195" s="37"/>
      <c r="H195" s="37"/>
      <c r="I195" s="37"/>
      <c r="J195" s="37"/>
      <c r="K195" s="37"/>
      <c r="L195" s="37"/>
    </row>
    <row r="196" spans="1:12">
      <c r="A196" s="37"/>
      <c r="B196" s="37"/>
      <c r="C196" s="37"/>
      <c r="D196" s="37"/>
      <c r="E196" s="37"/>
      <c r="F196" s="37"/>
      <c r="G196" s="37"/>
      <c r="H196" s="37"/>
      <c r="I196" s="37"/>
      <c r="J196" s="37"/>
      <c r="K196" s="37"/>
      <c r="L196" s="37"/>
    </row>
    <row r="197" spans="1:12">
      <c r="A197" s="37"/>
      <c r="B197" s="37"/>
      <c r="C197" s="37"/>
      <c r="D197" s="37"/>
      <c r="E197" s="37"/>
      <c r="F197" s="37"/>
      <c r="G197" s="37"/>
      <c r="H197" s="37"/>
      <c r="I197" s="37"/>
      <c r="J197" s="37"/>
      <c r="K197" s="37"/>
      <c r="L197" s="37"/>
    </row>
    <row r="198" spans="1:12">
      <c r="A198" s="37"/>
      <c r="B198" s="37"/>
      <c r="C198" s="37"/>
      <c r="D198" s="37"/>
      <c r="E198" s="37"/>
      <c r="F198" s="37"/>
      <c r="G198" s="37"/>
      <c r="H198" s="37"/>
      <c r="I198" s="37"/>
      <c r="J198" s="37"/>
      <c r="K198" s="37"/>
      <c r="L198" s="37"/>
    </row>
    <row r="199" spans="1:12">
      <c r="A199" s="37"/>
      <c r="B199" s="37"/>
      <c r="C199" s="37"/>
      <c r="D199" s="37"/>
      <c r="E199" s="37"/>
      <c r="F199" s="37"/>
      <c r="G199" s="37"/>
      <c r="H199" s="37"/>
      <c r="I199" s="37"/>
      <c r="J199" s="37"/>
      <c r="K199" s="37"/>
      <c r="L199" s="37"/>
    </row>
    <row r="200" spans="1:12">
      <c r="A200" s="37"/>
      <c r="B200" s="37"/>
      <c r="C200" s="37"/>
      <c r="D200" s="37"/>
      <c r="E200" s="37"/>
      <c r="F200" s="37"/>
      <c r="G200" s="37"/>
      <c r="H200" s="37"/>
      <c r="I200" s="37"/>
      <c r="J200" s="37"/>
      <c r="K200" s="37"/>
      <c r="L200" s="37"/>
    </row>
    <row r="201" spans="1:12">
      <c r="A201" s="37"/>
      <c r="B201" s="37"/>
      <c r="C201" s="37"/>
      <c r="D201" s="37"/>
      <c r="E201" s="37"/>
      <c r="F201" s="37"/>
      <c r="G201" s="37"/>
      <c r="H201" s="37"/>
      <c r="I201" s="37"/>
      <c r="J201" s="37"/>
      <c r="K201" s="37"/>
      <c r="L201" s="37"/>
    </row>
    <row r="202" spans="1:12">
      <c r="A202" s="37"/>
      <c r="B202" s="37"/>
      <c r="C202" s="37"/>
      <c r="D202" s="37"/>
      <c r="E202" s="37"/>
      <c r="F202" s="37"/>
      <c r="G202" s="37"/>
      <c r="H202" s="37"/>
      <c r="I202" s="37"/>
      <c r="J202" s="37"/>
      <c r="K202" s="37"/>
      <c r="L202" s="37"/>
    </row>
    <row r="203" spans="1:12">
      <c r="A203" s="37"/>
      <c r="B203" s="37"/>
      <c r="C203" s="37"/>
      <c r="D203" s="37"/>
      <c r="E203" s="37"/>
      <c r="F203" s="37"/>
      <c r="G203" s="37"/>
      <c r="H203" s="37"/>
      <c r="I203" s="37"/>
      <c r="J203" s="37"/>
      <c r="K203" s="37"/>
      <c r="L203" s="37"/>
    </row>
    <row r="204" spans="1:12">
      <c r="A204" s="37"/>
      <c r="B204" s="37"/>
      <c r="C204" s="37"/>
      <c r="D204" s="37"/>
      <c r="E204" s="37"/>
      <c r="F204" s="37"/>
      <c r="G204" s="37"/>
      <c r="H204" s="37"/>
      <c r="I204" s="37"/>
      <c r="J204" s="37"/>
      <c r="K204" s="37"/>
      <c r="L204" s="37"/>
    </row>
    <row r="205" spans="1:12">
      <c r="A205" s="37"/>
      <c r="B205" s="37"/>
      <c r="C205" s="37"/>
      <c r="D205" s="37"/>
      <c r="E205" s="37"/>
      <c r="F205" s="37"/>
      <c r="G205" s="37"/>
      <c r="H205" s="37"/>
      <c r="I205" s="37"/>
      <c r="J205" s="37"/>
      <c r="K205" s="37"/>
      <c r="L205" s="37"/>
    </row>
    <row r="206" spans="1:12">
      <c r="A206" s="37"/>
      <c r="B206" s="37"/>
      <c r="C206" s="37"/>
      <c r="D206" s="37"/>
      <c r="E206" s="37"/>
      <c r="F206" s="37"/>
      <c r="G206" s="37"/>
      <c r="H206" s="37"/>
      <c r="I206" s="37"/>
      <c r="J206" s="37"/>
      <c r="K206" s="37"/>
      <c r="L206" s="37"/>
    </row>
    <row r="207" spans="1:12">
      <c r="A207" s="37"/>
      <c r="B207" s="37"/>
      <c r="C207" s="37"/>
      <c r="D207" s="37"/>
      <c r="E207" s="37"/>
      <c r="F207" s="37"/>
      <c r="G207" s="37"/>
      <c r="H207" s="37"/>
      <c r="I207" s="37"/>
      <c r="J207" s="37"/>
      <c r="K207" s="37"/>
      <c r="L207" s="37"/>
    </row>
    <row r="208" spans="1:12">
      <c r="A208" s="37"/>
      <c r="B208" s="37"/>
      <c r="C208" s="37"/>
      <c r="D208" s="37"/>
      <c r="E208" s="37"/>
      <c r="F208" s="37"/>
      <c r="G208" s="37"/>
      <c r="H208" s="37"/>
      <c r="I208" s="37"/>
      <c r="J208" s="37"/>
      <c r="K208" s="37"/>
      <c r="L208" s="37"/>
    </row>
    <row r="209" spans="1:12">
      <c r="A209" s="37"/>
      <c r="B209" s="37"/>
      <c r="C209" s="37"/>
      <c r="D209" s="37"/>
      <c r="E209" s="37"/>
      <c r="F209" s="37"/>
      <c r="G209" s="37"/>
      <c r="H209" s="37"/>
      <c r="I209" s="37"/>
      <c r="J209" s="37"/>
      <c r="K209" s="37"/>
      <c r="L209" s="37"/>
    </row>
    <row r="210" spans="1:12">
      <c r="A210" s="37"/>
      <c r="B210" s="37"/>
      <c r="C210" s="37"/>
      <c r="D210" s="37"/>
      <c r="E210" s="37"/>
      <c r="F210" s="37"/>
      <c r="G210" s="37"/>
      <c r="H210" s="37"/>
      <c r="I210" s="37"/>
      <c r="J210" s="37"/>
      <c r="K210" s="37"/>
      <c r="L210" s="37"/>
    </row>
    <row r="211" spans="1:12">
      <c r="A211" s="37"/>
      <c r="B211" s="37"/>
      <c r="C211" s="37"/>
      <c r="D211" s="37"/>
      <c r="E211" s="37"/>
      <c r="F211" s="37"/>
      <c r="G211" s="37"/>
      <c r="H211" s="37"/>
      <c r="I211" s="37"/>
      <c r="J211" s="37"/>
      <c r="K211" s="37"/>
      <c r="L211" s="37"/>
    </row>
    <row r="212" spans="1:12">
      <c r="A212" s="37"/>
      <c r="B212" s="37"/>
      <c r="C212" s="37"/>
      <c r="D212" s="37"/>
      <c r="E212" s="37"/>
      <c r="F212" s="37"/>
      <c r="G212" s="37"/>
      <c r="H212" s="37"/>
      <c r="I212" s="37"/>
      <c r="J212" s="37"/>
      <c r="K212" s="37"/>
      <c r="L212" s="37"/>
    </row>
    <row r="213" spans="1:12">
      <c r="A213" s="37"/>
      <c r="B213" s="37"/>
      <c r="C213" s="37"/>
      <c r="D213" s="37"/>
      <c r="E213" s="37"/>
      <c r="F213" s="37"/>
      <c r="G213" s="37"/>
      <c r="H213" s="37"/>
      <c r="I213" s="37"/>
      <c r="J213" s="37"/>
      <c r="K213" s="37"/>
      <c r="L213" s="37"/>
    </row>
    <row r="214" spans="1:12">
      <c r="A214" s="37"/>
      <c r="B214" s="37"/>
      <c r="C214" s="37"/>
      <c r="D214" s="37"/>
      <c r="E214" s="37"/>
      <c r="F214" s="37"/>
      <c r="G214" s="37"/>
      <c r="H214" s="37"/>
      <c r="I214" s="37"/>
      <c r="J214" s="37"/>
      <c r="K214" s="37"/>
      <c r="L214" s="37"/>
    </row>
    <row r="215" spans="1:12">
      <c r="A215" s="37"/>
      <c r="B215" s="37"/>
      <c r="C215" s="37"/>
      <c r="D215" s="37"/>
      <c r="E215" s="37"/>
      <c r="F215" s="37"/>
      <c r="G215" s="37"/>
      <c r="H215" s="37"/>
      <c r="I215" s="37"/>
      <c r="J215" s="37"/>
      <c r="K215" s="37"/>
      <c r="L215" s="37"/>
    </row>
    <row r="216" spans="1:12">
      <c r="A216" s="37"/>
      <c r="B216" s="37"/>
      <c r="C216" s="37"/>
      <c r="D216" s="37"/>
      <c r="E216" s="37"/>
      <c r="F216" s="37"/>
      <c r="G216" s="37"/>
      <c r="H216" s="37"/>
      <c r="I216" s="37"/>
      <c r="J216" s="37"/>
      <c r="K216" s="37"/>
      <c r="L216" s="37"/>
    </row>
    <row r="217" spans="1:12">
      <c r="A217" s="37"/>
      <c r="B217" s="37"/>
      <c r="C217" s="37"/>
      <c r="D217" s="37"/>
      <c r="E217" s="37"/>
      <c r="F217" s="37"/>
      <c r="G217" s="37"/>
      <c r="H217" s="37"/>
      <c r="I217" s="37"/>
      <c r="J217" s="37"/>
      <c r="K217" s="37"/>
      <c r="L217" s="37"/>
    </row>
    <row r="218" spans="1:12">
      <c r="A218" s="37"/>
      <c r="B218" s="37"/>
      <c r="C218" s="37"/>
      <c r="D218" s="37"/>
      <c r="E218" s="37"/>
      <c r="F218" s="37"/>
      <c r="G218" s="37"/>
      <c r="H218" s="37"/>
      <c r="I218" s="37"/>
      <c r="J218" s="37"/>
      <c r="K218" s="37"/>
      <c r="L218" s="37"/>
    </row>
    <row r="219" spans="1:12">
      <c r="A219" s="37"/>
      <c r="B219" s="37"/>
      <c r="C219" s="37"/>
      <c r="D219" s="37"/>
      <c r="E219" s="37"/>
      <c r="F219" s="37"/>
      <c r="G219" s="37"/>
      <c r="H219" s="37"/>
      <c r="I219" s="37"/>
      <c r="J219" s="37"/>
      <c r="K219" s="37"/>
      <c r="L219" s="37"/>
    </row>
    <row r="220" spans="1:12">
      <c r="A220" s="37"/>
      <c r="B220" s="37"/>
      <c r="C220" s="37"/>
      <c r="D220" s="37"/>
      <c r="E220" s="37"/>
      <c r="F220" s="37"/>
      <c r="G220" s="37"/>
      <c r="H220" s="37"/>
      <c r="I220" s="37"/>
      <c r="J220" s="37"/>
      <c r="K220" s="37"/>
      <c r="L220" s="37"/>
    </row>
    <row r="221" spans="1:12">
      <c r="A221" s="37"/>
      <c r="B221" s="37"/>
      <c r="C221" s="37"/>
      <c r="D221" s="37"/>
      <c r="E221" s="37"/>
      <c r="F221" s="37"/>
      <c r="G221" s="37"/>
      <c r="H221" s="37"/>
      <c r="I221" s="37"/>
      <c r="J221" s="37"/>
      <c r="K221" s="37"/>
      <c r="L221" s="37"/>
    </row>
    <row r="222" spans="1:12">
      <c r="A222" s="37"/>
      <c r="B222" s="37"/>
      <c r="C222" s="37"/>
      <c r="D222" s="37"/>
      <c r="E222" s="37"/>
      <c r="F222" s="37"/>
      <c r="G222" s="37"/>
      <c r="H222" s="37"/>
      <c r="I222" s="37"/>
      <c r="J222" s="37"/>
      <c r="K222" s="37"/>
      <c r="L222" s="37"/>
    </row>
    <row r="223" spans="1:12">
      <c r="A223" s="37"/>
      <c r="B223" s="37"/>
      <c r="C223" s="37"/>
      <c r="D223" s="37"/>
      <c r="E223" s="37"/>
      <c r="F223" s="37"/>
      <c r="G223" s="37"/>
      <c r="H223" s="37"/>
      <c r="I223" s="37"/>
      <c r="J223" s="37"/>
      <c r="K223" s="37"/>
      <c r="L223" s="37"/>
    </row>
    <row r="224" spans="1:12">
      <c r="A224" s="37"/>
      <c r="B224" s="37"/>
      <c r="C224" s="37"/>
      <c r="D224" s="37"/>
      <c r="E224" s="37"/>
      <c r="F224" s="37"/>
      <c r="G224" s="37"/>
      <c r="H224" s="37"/>
      <c r="I224" s="37"/>
      <c r="J224" s="37"/>
      <c r="K224" s="37"/>
      <c r="L224" s="37"/>
    </row>
    <row r="225" spans="1:12">
      <c r="A225" s="37"/>
      <c r="B225" s="37"/>
      <c r="C225" s="37"/>
      <c r="D225" s="37"/>
      <c r="E225" s="37"/>
      <c r="F225" s="37"/>
      <c r="G225" s="37"/>
      <c r="H225" s="37"/>
      <c r="I225" s="37"/>
      <c r="J225" s="37"/>
      <c r="K225" s="37"/>
      <c r="L225" s="37"/>
    </row>
    <row r="226" spans="1:12">
      <c r="A226" s="37"/>
      <c r="B226" s="37"/>
      <c r="C226" s="37"/>
      <c r="D226" s="37"/>
      <c r="E226" s="37"/>
      <c r="F226" s="37"/>
      <c r="G226" s="37"/>
      <c r="H226" s="37"/>
      <c r="I226" s="37"/>
      <c r="J226" s="37"/>
      <c r="K226" s="37"/>
      <c r="L226" s="37"/>
    </row>
    <row r="227" spans="1:12">
      <c r="A227" s="37"/>
      <c r="B227" s="37"/>
      <c r="C227" s="37"/>
      <c r="D227" s="37"/>
      <c r="E227" s="37"/>
      <c r="F227" s="37"/>
      <c r="G227" s="37"/>
      <c r="H227" s="37"/>
      <c r="I227" s="37"/>
      <c r="J227" s="37"/>
      <c r="K227" s="37"/>
      <c r="L227" s="37"/>
    </row>
    <row r="228" spans="1:12">
      <c r="A228" s="37"/>
      <c r="B228" s="37"/>
      <c r="C228" s="37"/>
      <c r="D228" s="37"/>
      <c r="E228" s="37"/>
      <c r="F228" s="37"/>
      <c r="G228" s="37"/>
      <c r="H228" s="37"/>
      <c r="I228" s="37"/>
      <c r="J228" s="37"/>
      <c r="K228" s="37"/>
      <c r="L228" s="37"/>
    </row>
    <row r="229" spans="1:12">
      <c r="A229" s="37"/>
      <c r="B229" s="37"/>
      <c r="C229" s="37"/>
      <c r="D229" s="37"/>
      <c r="E229" s="37"/>
      <c r="F229" s="37"/>
      <c r="G229" s="37"/>
      <c r="H229" s="37"/>
      <c r="I229" s="37"/>
      <c r="J229" s="37"/>
      <c r="K229" s="37"/>
      <c r="L229" s="37"/>
    </row>
    <row r="230" spans="1:12">
      <c r="A230" s="37"/>
      <c r="B230" s="37"/>
      <c r="C230" s="37"/>
      <c r="D230" s="37"/>
      <c r="E230" s="37"/>
      <c r="F230" s="37"/>
      <c r="G230" s="37"/>
      <c r="H230" s="37"/>
      <c r="I230" s="37"/>
      <c r="J230" s="37"/>
      <c r="K230" s="37"/>
      <c r="L230" s="37"/>
    </row>
    <row r="231" spans="1:12">
      <c r="A231" s="37"/>
      <c r="B231" s="37"/>
      <c r="C231" s="37"/>
      <c r="D231" s="37"/>
      <c r="E231" s="37"/>
      <c r="F231" s="37"/>
      <c r="G231" s="37"/>
      <c r="H231" s="37"/>
      <c r="I231" s="37"/>
      <c r="J231" s="37"/>
      <c r="K231" s="37"/>
      <c r="L231" s="37"/>
    </row>
    <row r="232" spans="1:12">
      <c r="A232" s="37"/>
      <c r="B232" s="37"/>
      <c r="C232" s="37"/>
      <c r="D232" s="37"/>
      <c r="E232" s="37"/>
      <c r="F232" s="37"/>
      <c r="G232" s="37"/>
      <c r="H232" s="37"/>
      <c r="I232" s="37"/>
      <c r="J232" s="37"/>
      <c r="K232" s="37"/>
      <c r="L232" s="37"/>
    </row>
    <row r="233" spans="1:12">
      <c r="A233" s="37"/>
      <c r="B233" s="37"/>
      <c r="C233" s="37"/>
      <c r="D233" s="37"/>
      <c r="E233" s="37"/>
      <c r="F233" s="37"/>
      <c r="G233" s="37"/>
      <c r="H233" s="37"/>
      <c r="I233" s="37"/>
      <c r="J233" s="37"/>
      <c r="K233" s="37"/>
      <c r="L233" s="37"/>
    </row>
    <row r="234" spans="1:12">
      <c r="A234" s="37"/>
      <c r="B234" s="37"/>
      <c r="C234" s="37"/>
      <c r="D234" s="37"/>
      <c r="E234" s="37"/>
      <c r="F234" s="37"/>
      <c r="G234" s="37"/>
      <c r="H234" s="37"/>
      <c r="I234" s="37"/>
      <c r="J234" s="37"/>
      <c r="K234" s="37"/>
      <c r="L234" s="37"/>
    </row>
    <row r="235" spans="1:12">
      <c r="A235" s="37"/>
      <c r="B235" s="37"/>
      <c r="C235" s="37"/>
      <c r="D235" s="37"/>
      <c r="E235" s="37"/>
      <c r="F235" s="37"/>
      <c r="G235" s="37"/>
      <c r="H235" s="37"/>
      <c r="I235" s="37"/>
      <c r="J235" s="37"/>
      <c r="K235" s="37"/>
      <c r="L235" s="37"/>
    </row>
    <row r="236" spans="1:12">
      <c r="A236" s="37"/>
      <c r="B236" s="37"/>
      <c r="C236" s="37"/>
      <c r="D236" s="37"/>
      <c r="E236" s="37"/>
      <c r="F236" s="37"/>
      <c r="G236" s="37"/>
      <c r="H236" s="37"/>
      <c r="I236" s="37"/>
      <c r="J236" s="37"/>
      <c r="K236" s="37"/>
      <c r="L236" s="37"/>
    </row>
    <row r="237" spans="1:12">
      <c r="A237" s="37"/>
      <c r="B237" s="37"/>
      <c r="C237" s="37"/>
      <c r="D237" s="37"/>
      <c r="E237" s="37"/>
      <c r="F237" s="37"/>
      <c r="G237" s="37"/>
      <c r="H237" s="37"/>
      <c r="I237" s="37"/>
      <c r="J237" s="37"/>
      <c r="K237" s="37"/>
      <c r="L237" s="37"/>
    </row>
    <row r="238" spans="1:12">
      <c r="A238" s="37"/>
      <c r="B238" s="37"/>
      <c r="C238" s="37"/>
      <c r="D238" s="37"/>
      <c r="E238" s="37"/>
      <c r="F238" s="37"/>
      <c r="G238" s="37"/>
      <c r="H238" s="37"/>
      <c r="I238" s="37"/>
      <c r="J238" s="37"/>
      <c r="K238" s="37"/>
      <c r="L238" s="37"/>
    </row>
    <row r="239" spans="1:12">
      <c r="A239" s="37"/>
      <c r="B239" s="37"/>
      <c r="C239" s="37"/>
      <c r="D239" s="37"/>
      <c r="E239" s="37"/>
      <c r="F239" s="37"/>
      <c r="G239" s="37"/>
      <c r="H239" s="37"/>
      <c r="I239" s="37"/>
      <c r="J239" s="37"/>
      <c r="K239" s="37"/>
      <c r="L239" s="37"/>
    </row>
    <row r="240" spans="1:12">
      <c r="A240" s="37"/>
      <c r="B240" s="37"/>
      <c r="C240" s="37"/>
      <c r="D240" s="37"/>
      <c r="E240" s="37"/>
      <c r="F240" s="37"/>
      <c r="G240" s="37"/>
      <c r="H240" s="37"/>
      <c r="I240" s="37"/>
      <c r="J240" s="37"/>
      <c r="K240" s="37"/>
      <c r="L240" s="37"/>
    </row>
    <row r="241" spans="1:12">
      <c r="A241" s="37"/>
      <c r="B241" s="37"/>
      <c r="C241" s="37"/>
      <c r="D241" s="37"/>
      <c r="E241" s="37"/>
      <c r="F241" s="37"/>
      <c r="G241" s="37"/>
      <c r="H241" s="37"/>
      <c r="I241" s="37"/>
      <c r="J241" s="37"/>
      <c r="K241" s="37"/>
      <c r="L241" s="37"/>
    </row>
    <row r="242" spans="1:12">
      <c r="A242" s="37"/>
      <c r="B242" s="37"/>
      <c r="C242" s="37"/>
      <c r="D242" s="37"/>
      <c r="E242" s="37"/>
      <c r="F242" s="37"/>
      <c r="G242" s="37"/>
      <c r="H242" s="37"/>
      <c r="I242" s="37"/>
      <c r="J242" s="37"/>
      <c r="K242" s="37"/>
      <c r="L242" s="37"/>
    </row>
    <row r="243" spans="1:12">
      <c r="A243" s="37"/>
      <c r="B243" s="37"/>
      <c r="C243" s="37"/>
      <c r="D243" s="37"/>
      <c r="E243" s="37"/>
      <c r="F243" s="37"/>
      <c r="G243" s="37"/>
      <c r="H243" s="37"/>
      <c r="I243" s="37"/>
      <c r="J243" s="37"/>
      <c r="K243" s="37"/>
      <c r="L243" s="37"/>
    </row>
    <row r="244" spans="1:12">
      <c r="A244" s="37"/>
      <c r="B244" s="37"/>
      <c r="C244" s="37"/>
      <c r="D244" s="37"/>
      <c r="E244" s="37"/>
      <c r="F244" s="37"/>
      <c r="G244" s="37"/>
      <c r="H244" s="37"/>
      <c r="I244" s="37"/>
      <c r="J244" s="37"/>
      <c r="K244" s="37"/>
      <c r="L244" s="37"/>
    </row>
    <row r="245" spans="1:12">
      <c r="A245" s="37"/>
      <c r="B245" s="37"/>
      <c r="C245" s="37"/>
      <c r="D245" s="37"/>
      <c r="E245" s="37"/>
      <c r="F245" s="37"/>
      <c r="G245" s="37"/>
      <c r="H245" s="37"/>
      <c r="I245" s="37"/>
      <c r="J245" s="37"/>
      <c r="K245" s="37"/>
      <c r="L245" s="37"/>
    </row>
    <row r="246" spans="1:12">
      <c r="A246" s="37"/>
      <c r="B246" s="37"/>
      <c r="C246" s="37"/>
      <c r="D246" s="37"/>
      <c r="E246" s="37"/>
      <c r="F246" s="37"/>
      <c r="G246" s="37"/>
      <c r="H246" s="37"/>
      <c r="I246" s="37"/>
      <c r="J246" s="37"/>
      <c r="K246" s="37"/>
      <c r="L246" s="37"/>
    </row>
    <row r="247" spans="1:12">
      <c r="A247" s="37"/>
      <c r="B247" s="37"/>
      <c r="C247" s="37"/>
      <c r="D247" s="37"/>
      <c r="E247" s="37"/>
      <c r="F247" s="37"/>
      <c r="G247" s="37"/>
      <c r="H247" s="37"/>
      <c r="I247" s="37"/>
      <c r="J247" s="37"/>
      <c r="K247" s="37"/>
      <c r="L247" s="37"/>
    </row>
    <row r="248" spans="1:12">
      <c r="A248" s="37"/>
      <c r="B248" s="37"/>
      <c r="C248" s="37"/>
      <c r="D248" s="37"/>
      <c r="E248" s="37"/>
      <c r="F248" s="37"/>
      <c r="G248" s="37"/>
      <c r="H248" s="37"/>
      <c r="I248" s="37"/>
      <c r="J248" s="37"/>
      <c r="K248" s="37"/>
      <c r="L248" s="37"/>
    </row>
    <row r="249" spans="1:12">
      <c r="A249" s="37"/>
      <c r="B249" s="37"/>
      <c r="C249" s="37"/>
      <c r="D249" s="37"/>
      <c r="E249" s="37"/>
      <c r="F249" s="37"/>
      <c r="G249" s="37"/>
      <c r="H249" s="37"/>
      <c r="I249" s="37"/>
      <c r="J249" s="37"/>
      <c r="K249" s="37"/>
      <c r="L249" s="37"/>
    </row>
    <row r="250" spans="1:12">
      <c r="A250" s="37"/>
      <c r="B250" s="37"/>
      <c r="C250" s="37"/>
      <c r="D250" s="37"/>
      <c r="E250" s="37"/>
      <c r="F250" s="37"/>
      <c r="G250" s="37"/>
      <c r="H250" s="37"/>
      <c r="I250" s="37"/>
      <c r="J250" s="37"/>
      <c r="K250" s="37"/>
      <c r="L250" s="37"/>
    </row>
    <row r="251" spans="1:12">
      <c r="A251" s="37"/>
      <c r="B251" s="37"/>
      <c r="C251" s="37"/>
      <c r="D251" s="37"/>
      <c r="E251" s="37"/>
      <c r="F251" s="37"/>
      <c r="G251" s="37"/>
      <c r="H251" s="37"/>
      <c r="I251" s="37"/>
      <c r="J251" s="37"/>
      <c r="K251" s="37"/>
      <c r="L251" s="37"/>
    </row>
    <row r="252" spans="1:12">
      <c r="A252" s="37"/>
      <c r="B252" s="37"/>
      <c r="C252" s="37"/>
      <c r="D252" s="37"/>
      <c r="E252" s="37"/>
      <c r="F252" s="37"/>
      <c r="G252" s="37"/>
      <c r="H252" s="37"/>
      <c r="I252" s="37"/>
      <c r="J252" s="37"/>
      <c r="K252" s="37"/>
      <c r="L252" s="37"/>
    </row>
    <row r="253" spans="1:12">
      <c r="A253" s="37"/>
      <c r="B253" s="37"/>
      <c r="C253" s="37"/>
      <c r="D253" s="37"/>
      <c r="E253" s="37"/>
      <c r="F253" s="37"/>
      <c r="G253" s="37"/>
      <c r="H253" s="37"/>
      <c r="I253" s="37"/>
      <c r="J253" s="37"/>
      <c r="K253" s="37"/>
      <c r="L253" s="37"/>
    </row>
    <row r="254" spans="1:12">
      <c r="A254" s="37"/>
      <c r="B254" s="37"/>
      <c r="C254" s="37"/>
      <c r="D254" s="37"/>
      <c r="E254" s="37"/>
      <c r="F254" s="37"/>
      <c r="G254" s="37"/>
      <c r="H254" s="37"/>
      <c r="I254" s="37"/>
      <c r="J254" s="37"/>
      <c r="K254" s="37"/>
      <c r="L254" s="37"/>
    </row>
    <row r="255" spans="1:12">
      <c r="A255" s="37"/>
      <c r="B255" s="37"/>
      <c r="C255" s="37"/>
      <c r="D255" s="37"/>
      <c r="E255" s="37"/>
      <c r="F255" s="37"/>
      <c r="G255" s="37"/>
      <c r="H255" s="37"/>
      <c r="I255" s="37"/>
      <c r="J255" s="37"/>
      <c r="K255" s="37"/>
      <c r="L255" s="37"/>
    </row>
    <row r="256" spans="1:12">
      <c r="A256" s="37"/>
      <c r="B256" s="37"/>
      <c r="C256" s="37"/>
      <c r="D256" s="37"/>
      <c r="E256" s="37"/>
      <c r="F256" s="37"/>
      <c r="G256" s="37"/>
      <c r="H256" s="37"/>
      <c r="I256" s="37"/>
      <c r="J256" s="37"/>
      <c r="K256" s="37"/>
      <c r="L256" s="37"/>
    </row>
    <row r="257" spans="1:12">
      <c r="A257" s="37"/>
      <c r="B257" s="37"/>
      <c r="C257" s="37"/>
      <c r="D257" s="37"/>
      <c r="E257" s="37"/>
      <c r="F257" s="37"/>
      <c r="G257" s="37"/>
      <c r="H257" s="37"/>
      <c r="I257" s="37"/>
      <c r="J257" s="37"/>
      <c r="K257" s="37"/>
      <c r="L257" s="37"/>
    </row>
    <row r="258" spans="1:12">
      <c r="A258" s="37"/>
      <c r="B258" s="37"/>
      <c r="C258" s="37"/>
      <c r="D258" s="37"/>
      <c r="E258" s="37"/>
      <c r="F258" s="37"/>
      <c r="G258" s="37"/>
      <c r="H258" s="37"/>
      <c r="I258" s="37"/>
      <c r="J258" s="37"/>
      <c r="K258" s="37"/>
      <c r="L258" s="37"/>
    </row>
    <row r="259" spans="1:12">
      <c r="A259" s="37"/>
      <c r="B259" s="37"/>
      <c r="C259" s="37"/>
      <c r="D259" s="37"/>
      <c r="E259" s="37"/>
      <c r="F259" s="37"/>
      <c r="G259" s="37"/>
      <c r="H259" s="37"/>
      <c r="I259" s="37"/>
      <c r="J259" s="37"/>
      <c r="K259" s="37"/>
      <c r="L259" s="37"/>
    </row>
    <row r="260" spans="1:12">
      <c r="A260" s="37"/>
      <c r="B260" s="37"/>
      <c r="C260" s="37"/>
      <c r="D260" s="37"/>
      <c r="E260" s="37"/>
      <c r="F260" s="37"/>
      <c r="G260" s="37"/>
      <c r="H260" s="37"/>
      <c r="I260" s="37"/>
      <c r="J260" s="37"/>
      <c r="K260" s="37"/>
      <c r="L260" s="37"/>
    </row>
    <row r="261" spans="1:12">
      <c r="A261" s="37"/>
      <c r="B261" s="37"/>
      <c r="C261" s="37"/>
      <c r="D261" s="37"/>
      <c r="E261" s="37"/>
      <c r="F261" s="37"/>
      <c r="G261" s="37"/>
      <c r="H261" s="37"/>
      <c r="I261" s="37"/>
      <c r="J261" s="37"/>
      <c r="K261" s="37"/>
      <c r="L261" s="37"/>
    </row>
    <row r="262" spans="1:12">
      <c r="A262" s="37"/>
      <c r="B262" s="37"/>
      <c r="C262" s="37"/>
      <c r="D262" s="37"/>
      <c r="E262" s="37"/>
      <c r="F262" s="37"/>
      <c r="G262" s="37"/>
      <c r="H262" s="37"/>
      <c r="I262" s="37"/>
      <c r="J262" s="37"/>
      <c r="K262" s="37"/>
      <c r="L262" s="37"/>
    </row>
    <row r="263" spans="1:12">
      <c r="A263" s="37"/>
      <c r="B263" s="37"/>
      <c r="C263" s="37"/>
      <c r="D263" s="37"/>
      <c r="E263" s="37"/>
      <c r="F263" s="37"/>
      <c r="G263" s="37"/>
      <c r="H263" s="37"/>
      <c r="I263" s="37"/>
      <c r="J263" s="37"/>
      <c r="K263" s="37"/>
      <c r="L263" s="37"/>
    </row>
    <row r="264" spans="1:12">
      <c r="A264" s="37"/>
      <c r="B264" s="37"/>
      <c r="C264" s="37"/>
      <c r="D264" s="37"/>
      <c r="E264" s="37"/>
      <c r="F264" s="37"/>
      <c r="G264" s="37"/>
      <c r="H264" s="37"/>
      <c r="I264" s="37"/>
      <c r="J264" s="37"/>
      <c r="K264" s="37"/>
      <c r="L264" s="37"/>
    </row>
    <row r="265" spans="1:12">
      <c r="A265" s="37"/>
      <c r="B265" s="37"/>
      <c r="C265" s="37"/>
      <c r="D265" s="37"/>
      <c r="E265" s="37"/>
      <c r="F265" s="37"/>
      <c r="G265" s="37"/>
      <c r="H265" s="37"/>
      <c r="I265" s="37"/>
      <c r="J265" s="37"/>
      <c r="K265" s="37"/>
      <c r="L265" s="37"/>
    </row>
    <row r="266" spans="1:12">
      <c r="A266" s="37"/>
      <c r="B266" s="37"/>
      <c r="C266" s="37"/>
      <c r="D266" s="37"/>
      <c r="E266" s="37"/>
      <c r="F266" s="37"/>
      <c r="G266" s="37"/>
      <c r="H266" s="37"/>
      <c r="I266" s="37"/>
      <c r="J266" s="37"/>
      <c r="K266" s="37"/>
      <c r="L266" s="37"/>
    </row>
    <row r="267" spans="1:12">
      <c r="A267" s="37"/>
      <c r="B267" s="37"/>
      <c r="C267" s="37"/>
      <c r="D267" s="37"/>
      <c r="E267" s="37"/>
      <c r="F267" s="37"/>
      <c r="G267" s="37"/>
      <c r="H267" s="37"/>
      <c r="I267" s="37"/>
      <c r="J267" s="37"/>
      <c r="K267" s="37"/>
      <c r="L267" s="37"/>
    </row>
    <row r="268" spans="1:12">
      <c r="A268" s="37"/>
      <c r="B268" s="37"/>
      <c r="C268" s="37"/>
      <c r="D268" s="37"/>
      <c r="E268" s="37"/>
      <c r="F268" s="37"/>
      <c r="G268" s="37"/>
      <c r="H268" s="37"/>
      <c r="I268" s="37"/>
      <c r="J268" s="37"/>
      <c r="K268" s="37"/>
      <c r="L268" s="37"/>
    </row>
    <row r="269" spans="1:12">
      <c r="A269" s="37"/>
      <c r="B269" s="37"/>
      <c r="C269" s="37"/>
      <c r="D269" s="37"/>
      <c r="E269" s="37"/>
      <c r="F269" s="37"/>
      <c r="G269" s="37"/>
      <c r="H269" s="37"/>
      <c r="I269" s="37"/>
      <c r="J269" s="37"/>
      <c r="K269" s="37"/>
      <c r="L269" s="37"/>
    </row>
    <row r="270" spans="1:12">
      <c r="A270" s="37"/>
      <c r="B270" s="37"/>
      <c r="C270" s="37"/>
      <c r="D270" s="37"/>
      <c r="E270" s="37"/>
      <c r="F270" s="37"/>
      <c r="G270" s="37"/>
      <c r="H270" s="37"/>
      <c r="I270" s="37"/>
      <c r="J270" s="37"/>
      <c r="K270" s="37"/>
      <c r="L270" s="37"/>
    </row>
    <row r="271" spans="1:12">
      <c r="A271" s="37"/>
      <c r="B271" s="37"/>
      <c r="C271" s="37"/>
      <c r="D271" s="37"/>
      <c r="E271" s="37"/>
      <c r="F271" s="37"/>
      <c r="G271" s="37"/>
      <c r="H271" s="37"/>
      <c r="I271" s="37"/>
      <c r="J271" s="37"/>
      <c r="K271" s="37"/>
      <c r="L271" s="37"/>
    </row>
    <row r="272" spans="1:12">
      <c r="A272" s="37"/>
      <c r="B272" s="37"/>
      <c r="C272" s="37"/>
      <c r="D272" s="37"/>
      <c r="E272" s="37"/>
      <c r="F272" s="37"/>
      <c r="G272" s="37"/>
      <c r="H272" s="37"/>
      <c r="I272" s="37"/>
      <c r="J272" s="37"/>
      <c r="K272" s="37"/>
      <c r="L272" s="37"/>
    </row>
    <row r="273" spans="1:12">
      <c r="A273" s="37"/>
      <c r="B273" s="37"/>
      <c r="C273" s="37"/>
      <c r="D273" s="37"/>
      <c r="E273" s="37"/>
      <c r="F273" s="37"/>
      <c r="G273" s="37"/>
      <c r="H273" s="37"/>
      <c r="I273" s="37"/>
      <c r="J273" s="37"/>
      <c r="K273" s="37"/>
      <c r="L273" s="37"/>
    </row>
    <row r="274" spans="1:12">
      <c r="A274" s="37"/>
      <c r="B274" s="37"/>
      <c r="C274" s="37"/>
      <c r="D274" s="37"/>
      <c r="E274" s="37"/>
      <c r="F274" s="37"/>
      <c r="G274" s="37"/>
      <c r="H274" s="37"/>
      <c r="I274" s="37"/>
      <c r="J274" s="37"/>
      <c r="K274" s="37"/>
      <c r="L274" s="37"/>
    </row>
    <row r="275" spans="1:12">
      <c r="A275" s="37"/>
      <c r="B275" s="37"/>
      <c r="C275" s="37"/>
      <c r="D275" s="37"/>
      <c r="E275" s="37"/>
      <c r="F275" s="37"/>
      <c r="G275" s="37"/>
      <c r="H275" s="37"/>
      <c r="I275" s="37"/>
      <c r="J275" s="37"/>
      <c r="K275" s="37"/>
      <c r="L275" s="37"/>
    </row>
    <row r="276" spans="1:12">
      <c r="A276" s="37"/>
      <c r="B276" s="37"/>
      <c r="C276" s="37"/>
      <c r="D276" s="37"/>
      <c r="E276" s="37"/>
      <c r="F276" s="37"/>
      <c r="G276" s="37"/>
      <c r="H276" s="37"/>
      <c r="I276" s="37"/>
      <c r="J276" s="37"/>
      <c r="K276" s="37"/>
      <c r="L276" s="37"/>
    </row>
    <row r="277" spans="1:12">
      <c r="A277" s="37"/>
      <c r="B277" s="37"/>
      <c r="C277" s="37"/>
      <c r="D277" s="37"/>
      <c r="E277" s="37"/>
      <c r="F277" s="37"/>
      <c r="G277" s="37"/>
      <c r="H277" s="37"/>
      <c r="I277" s="37"/>
      <c r="J277" s="37"/>
      <c r="K277" s="37"/>
      <c r="L277" s="37"/>
    </row>
    <row r="278" spans="1:12">
      <c r="A278" s="37"/>
      <c r="B278" s="37"/>
      <c r="C278" s="37"/>
      <c r="D278" s="37"/>
      <c r="E278" s="37"/>
      <c r="F278" s="37"/>
      <c r="G278" s="37"/>
      <c r="H278" s="37"/>
      <c r="I278" s="37"/>
      <c r="J278" s="37"/>
      <c r="K278" s="37"/>
      <c r="L278" s="37"/>
    </row>
    <row r="279" spans="1:12">
      <c r="A279" s="37"/>
      <c r="B279" s="37"/>
      <c r="C279" s="37"/>
      <c r="D279" s="37"/>
      <c r="E279" s="37"/>
      <c r="F279" s="37"/>
      <c r="G279" s="37"/>
      <c r="H279" s="37"/>
      <c r="I279" s="37"/>
      <c r="J279" s="37"/>
      <c r="K279" s="37"/>
      <c r="L279" s="37"/>
    </row>
    <row r="280" spans="1:12">
      <c r="A280" s="37"/>
      <c r="B280" s="37"/>
      <c r="C280" s="37"/>
      <c r="D280" s="37"/>
      <c r="E280" s="37"/>
      <c r="F280" s="37"/>
      <c r="G280" s="37"/>
      <c r="H280" s="37"/>
      <c r="I280" s="37"/>
      <c r="J280" s="37"/>
      <c r="K280" s="37"/>
      <c r="L280" s="37"/>
    </row>
    <row r="281" spans="1:12">
      <c r="A281" s="37"/>
      <c r="B281" s="37"/>
      <c r="C281" s="37"/>
      <c r="D281" s="37"/>
      <c r="E281" s="37"/>
      <c r="F281" s="37"/>
      <c r="G281" s="37"/>
      <c r="H281" s="37"/>
      <c r="I281" s="37"/>
      <c r="J281" s="37"/>
      <c r="K281" s="37"/>
      <c r="L281" s="37"/>
    </row>
    <row r="282" spans="1:12">
      <c r="A282" s="37"/>
      <c r="B282" s="37"/>
      <c r="C282" s="37"/>
      <c r="D282" s="37"/>
      <c r="E282" s="37"/>
      <c r="F282" s="37"/>
      <c r="G282" s="37"/>
      <c r="H282" s="37"/>
      <c r="I282" s="37"/>
      <c r="J282" s="37"/>
      <c r="K282" s="37"/>
      <c r="L282" s="37"/>
    </row>
    <row r="283" spans="1:12">
      <c r="A283" s="37"/>
      <c r="B283" s="37"/>
      <c r="C283" s="37"/>
      <c r="D283" s="37"/>
      <c r="E283" s="37"/>
      <c r="F283" s="37"/>
      <c r="G283" s="37"/>
      <c r="H283" s="37"/>
      <c r="I283" s="37"/>
      <c r="J283" s="37"/>
      <c r="K283" s="37"/>
      <c r="L283" s="37"/>
    </row>
    <row r="284" spans="1:12">
      <c r="A284" s="37"/>
      <c r="B284" s="37"/>
      <c r="C284" s="37"/>
      <c r="D284" s="37"/>
      <c r="E284" s="37"/>
      <c r="F284" s="37"/>
      <c r="G284" s="37"/>
      <c r="H284" s="37"/>
      <c r="I284" s="37"/>
      <c r="J284" s="37"/>
      <c r="K284" s="37"/>
      <c r="L284" s="37"/>
    </row>
    <row r="285" spans="1:12">
      <c r="A285" s="37"/>
      <c r="B285" s="37"/>
      <c r="C285" s="37"/>
      <c r="D285" s="37"/>
      <c r="E285" s="37"/>
      <c r="F285" s="37"/>
      <c r="G285" s="37"/>
      <c r="H285" s="37"/>
      <c r="I285" s="37"/>
      <c r="J285" s="37"/>
      <c r="K285" s="37"/>
      <c r="L285" s="37"/>
    </row>
    <row r="286" spans="1:12">
      <c r="A286" s="37"/>
      <c r="B286" s="37"/>
      <c r="C286" s="37"/>
      <c r="D286" s="37"/>
      <c r="E286" s="37"/>
      <c r="F286" s="37"/>
      <c r="G286" s="37"/>
      <c r="H286" s="37"/>
      <c r="I286" s="37"/>
      <c r="J286" s="37"/>
      <c r="K286" s="37"/>
      <c r="L286" s="37"/>
    </row>
    <row r="287" spans="1:12">
      <c r="A287" s="37"/>
      <c r="B287" s="37"/>
      <c r="C287" s="37"/>
      <c r="D287" s="37"/>
      <c r="E287" s="37"/>
      <c r="F287" s="37"/>
      <c r="G287" s="37"/>
      <c r="H287" s="37"/>
      <c r="I287" s="37"/>
      <c r="J287" s="37"/>
      <c r="K287" s="37"/>
      <c r="L287" s="37"/>
    </row>
    <row r="288" spans="1:12">
      <c r="A288" s="37"/>
      <c r="B288" s="37"/>
      <c r="C288" s="37"/>
      <c r="D288" s="37"/>
      <c r="E288" s="37"/>
      <c r="F288" s="37"/>
      <c r="G288" s="37"/>
      <c r="H288" s="37"/>
      <c r="I288" s="37"/>
      <c r="J288" s="37"/>
      <c r="K288" s="37"/>
      <c r="L288" s="37"/>
    </row>
    <row r="289" spans="1:12">
      <c r="A289" s="37"/>
      <c r="B289" s="37"/>
      <c r="C289" s="37"/>
      <c r="D289" s="37"/>
      <c r="E289" s="37"/>
      <c r="F289" s="37"/>
      <c r="G289" s="37"/>
      <c r="H289" s="37"/>
      <c r="I289" s="37"/>
      <c r="J289" s="37"/>
      <c r="K289" s="37"/>
      <c r="L289" s="37"/>
    </row>
    <row r="290" spans="1:12">
      <c r="A290" s="37"/>
      <c r="B290" s="37"/>
      <c r="C290" s="37"/>
      <c r="D290" s="37"/>
      <c r="E290" s="37"/>
      <c r="F290" s="37"/>
      <c r="G290" s="37"/>
      <c r="H290" s="37"/>
      <c r="I290" s="37"/>
      <c r="J290" s="37"/>
      <c r="K290" s="37"/>
      <c r="L290" s="37"/>
    </row>
    <row r="291" spans="1:12">
      <c r="A291" s="37"/>
      <c r="B291" s="37"/>
      <c r="C291" s="37"/>
      <c r="D291" s="37"/>
      <c r="E291" s="37"/>
      <c r="F291" s="37"/>
      <c r="G291" s="37"/>
      <c r="H291" s="37"/>
      <c r="I291" s="37"/>
      <c r="J291" s="37"/>
      <c r="K291" s="37"/>
      <c r="L291" s="37"/>
    </row>
    <row r="292" spans="1:12">
      <c r="A292" s="37"/>
      <c r="B292" s="37"/>
      <c r="C292" s="37"/>
      <c r="D292" s="37"/>
      <c r="E292" s="37"/>
      <c r="F292" s="37"/>
      <c r="G292" s="37"/>
      <c r="H292" s="37"/>
      <c r="I292" s="37"/>
      <c r="J292" s="37"/>
      <c r="K292" s="37"/>
      <c r="L292" s="37"/>
    </row>
    <row r="293" spans="1:12">
      <c r="A293" s="37"/>
      <c r="B293" s="37"/>
      <c r="C293" s="37"/>
      <c r="D293" s="37"/>
      <c r="E293" s="37"/>
      <c r="F293" s="37"/>
      <c r="G293" s="37"/>
      <c r="H293" s="37"/>
      <c r="I293" s="37"/>
      <c r="J293" s="37"/>
      <c r="K293" s="37"/>
      <c r="L293" s="37"/>
    </row>
    <row r="294" spans="1:12">
      <c r="A294" s="37"/>
      <c r="B294" s="37"/>
      <c r="C294" s="37"/>
      <c r="D294" s="37"/>
      <c r="E294" s="37"/>
      <c r="F294" s="37"/>
      <c r="G294" s="37"/>
      <c r="H294" s="37"/>
      <c r="I294" s="37"/>
      <c r="J294" s="37"/>
      <c r="K294" s="37"/>
      <c r="L294" s="37"/>
    </row>
    <row r="295" spans="1:12">
      <c r="A295" s="37"/>
      <c r="B295" s="37"/>
      <c r="C295" s="37"/>
      <c r="D295" s="37"/>
      <c r="E295" s="37"/>
      <c r="F295" s="37"/>
      <c r="G295" s="37"/>
      <c r="H295" s="37"/>
      <c r="I295" s="37"/>
      <c r="J295" s="37"/>
      <c r="K295" s="37"/>
      <c r="L295" s="37"/>
    </row>
    <row r="296" spans="1:12">
      <c r="A296" s="37"/>
      <c r="B296" s="37"/>
      <c r="C296" s="37"/>
      <c r="D296" s="37"/>
      <c r="E296" s="37"/>
      <c r="F296" s="37"/>
      <c r="G296" s="37"/>
      <c r="H296" s="37"/>
      <c r="I296" s="37"/>
      <c r="J296" s="37"/>
      <c r="K296" s="37"/>
      <c r="L296" s="37"/>
    </row>
    <row r="297" spans="1:12">
      <c r="A297" s="37"/>
      <c r="B297" s="37"/>
      <c r="C297" s="37"/>
      <c r="D297" s="37"/>
      <c r="E297" s="37"/>
      <c r="F297" s="37"/>
      <c r="G297" s="37"/>
      <c r="H297" s="37"/>
      <c r="I297" s="37"/>
      <c r="J297" s="37"/>
      <c r="K297" s="37"/>
      <c r="L297" s="37"/>
    </row>
    <row r="298" spans="1:12">
      <c r="A298" s="37"/>
      <c r="B298" s="37"/>
      <c r="C298" s="37"/>
      <c r="D298" s="37"/>
      <c r="E298" s="37"/>
      <c r="F298" s="37"/>
      <c r="G298" s="37"/>
      <c r="H298" s="37"/>
      <c r="I298" s="37"/>
      <c r="J298" s="37"/>
      <c r="K298" s="37"/>
      <c r="L298" s="37"/>
    </row>
    <row r="299" spans="1:12">
      <c r="A299" s="37"/>
      <c r="B299" s="37"/>
      <c r="C299" s="37"/>
      <c r="D299" s="37"/>
      <c r="E299" s="37"/>
      <c r="F299" s="37"/>
      <c r="G299" s="37"/>
      <c r="H299" s="37"/>
      <c r="I299" s="37"/>
      <c r="J299" s="37"/>
      <c r="K299" s="37"/>
      <c r="L299" s="37"/>
    </row>
    <row r="300" spans="1:12">
      <c r="A300" s="37"/>
      <c r="B300" s="37"/>
      <c r="C300" s="37"/>
      <c r="D300" s="37"/>
      <c r="E300" s="37"/>
      <c r="F300" s="37"/>
      <c r="G300" s="37"/>
      <c r="H300" s="37"/>
      <c r="I300" s="37"/>
      <c r="J300" s="37"/>
      <c r="K300" s="37"/>
      <c r="L300" s="37"/>
    </row>
    <row r="301" spans="1:12">
      <c r="A301" s="37"/>
      <c r="B301" s="37"/>
      <c r="C301" s="37"/>
      <c r="D301" s="37"/>
      <c r="E301" s="37"/>
      <c r="F301" s="37"/>
      <c r="G301" s="37"/>
      <c r="H301" s="37"/>
      <c r="I301" s="37"/>
      <c r="J301" s="37"/>
      <c r="K301" s="37"/>
      <c r="L301" s="37"/>
    </row>
    <row r="302" spans="1:12">
      <c r="A302" s="37"/>
      <c r="B302" s="37"/>
      <c r="C302" s="37"/>
      <c r="D302" s="37"/>
      <c r="E302" s="37"/>
      <c r="F302" s="37"/>
      <c r="G302" s="37"/>
      <c r="H302" s="37"/>
      <c r="I302" s="37"/>
      <c r="J302" s="37"/>
      <c r="K302" s="37"/>
      <c r="L302" s="37"/>
    </row>
    <row r="303" spans="1:12">
      <c r="A303" s="37"/>
      <c r="B303" s="37"/>
      <c r="C303" s="37"/>
      <c r="D303" s="37"/>
      <c r="E303" s="37"/>
      <c r="F303" s="37"/>
      <c r="G303" s="37"/>
      <c r="H303" s="37"/>
      <c r="I303" s="37"/>
      <c r="J303" s="37"/>
      <c r="K303" s="37"/>
      <c r="L303" s="37"/>
    </row>
    <row r="304" spans="1:12">
      <c r="A304" s="37"/>
      <c r="B304" s="37"/>
      <c r="C304" s="37"/>
      <c r="D304" s="37"/>
      <c r="E304" s="37"/>
      <c r="F304" s="37"/>
      <c r="G304" s="37"/>
      <c r="H304" s="37"/>
      <c r="I304" s="37"/>
      <c r="J304" s="37"/>
      <c r="K304" s="37"/>
      <c r="L304" s="37"/>
    </row>
    <row r="305" spans="1:12">
      <c r="A305" s="37"/>
      <c r="B305" s="37"/>
      <c r="C305" s="37"/>
      <c r="D305" s="37"/>
      <c r="E305" s="37"/>
      <c r="F305" s="37"/>
      <c r="G305" s="37"/>
      <c r="H305" s="37"/>
      <c r="I305" s="37"/>
      <c r="J305" s="37"/>
      <c r="K305" s="37"/>
      <c r="L305" s="37"/>
    </row>
    <row r="306" spans="1:12">
      <c r="A306" s="37"/>
      <c r="B306" s="37"/>
      <c r="C306" s="37"/>
      <c r="D306" s="37"/>
      <c r="E306" s="37"/>
      <c r="F306" s="37"/>
      <c r="G306" s="37"/>
      <c r="H306" s="37"/>
      <c r="I306" s="37"/>
      <c r="J306" s="37"/>
      <c r="K306" s="37"/>
      <c r="L306" s="37"/>
    </row>
    <row r="307" spans="1:12">
      <c r="A307" s="37"/>
      <c r="B307" s="37"/>
      <c r="C307" s="37"/>
      <c r="D307" s="37"/>
      <c r="E307" s="37"/>
      <c r="F307" s="37"/>
      <c r="G307" s="37"/>
      <c r="H307" s="37"/>
      <c r="I307" s="37"/>
      <c r="J307" s="37"/>
      <c r="K307" s="37"/>
      <c r="L307" s="37"/>
    </row>
    <row r="308" spans="1:12">
      <c r="A308" s="37"/>
      <c r="B308" s="37"/>
      <c r="C308" s="37"/>
      <c r="D308" s="37"/>
      <c r="E308" s="37"/>
      <c r="F308" s="37"/>
      <c r="G308" s="37"/>
      <c r="H308" s="37"/>
      <c r="I308" s="37"/>
      <c r="J308" s="37"/>
      <c r="K308" s="37"/>
      <c r="L308" s="37"/>
    </row>
    <row r="309" spans="1:12">
      <c r="A309" s="37"/>
      <c r="B309" s="37"/>
      <c r="C309" s="37"/>
      <c r="D309" s="37"/>
      <c r="E309" s="37"/>
      <c r="F309" s="37"/>
      <c r="G309" s="37"/>
      <c r="H309" s="37"/>
      <c r="I309" s="37"/>
      <c r="J309" s="37"/>
      <c r="K309" s="37"/>
      <c r="L309" s="37"/>
    </row>
    <row r="310" spans="1:12">
      <c r="A310" s="37"/>
      <c r="B310" s="37"/>
      <c r="C310" s="37"/>
      <c r="D310" s="37"/>
      <c r="E310" s="37"/>
      <c r="F310" s="37"/>
      <c r="G310" s="37"/>
      <c r="H310" s="37"/>
      <c r="I310" s="37"/>
      <c r="J310" s="37"/>
      <c r="K310" s="37"/>
      <c r="L310" s="37"/>
    </row>
    <row r="311" spans="1:12">
      <c r="A311" s="37"/>
      <c r="B311" s="37"/>
      <c r="C311" s="37"/>
      <c r="D311" s="37"/>
      <c r="E311" s="37"/>
      <c r="F311" s="37"/>
      <c r="G311" s="37"/>
      <c r="H311" s="37"/>
      <c r="I311" s="37"/>
      <c r="J311" s="37"/>
      <c r="K311" s="37"/>
      <c r="L311" s="37"/>
    </row>
    <row r="312" spans="1:12">
      <c r="A312" s="37"/>
      <c r="B312" s="37"/>
      <c r="C312" s="37"/>
      <c r="D312" s="37"/>
      <c r="E312" s="37"/>
      <c r="F312" s="37"/>
      <c r="G312" s="37"/>
      <c r="H312" s="37"/>
      <c r="I312" s="37"/>
      <c r="J312" s="37"/>
      <c r="K312" s="37"/>
      <c r="L312" s="37"/>
    </row>
    <row r="313" spans="1:12">
      <c r="A313" s="37"/>
      <c r="B313" s="37"/>
      <c r="C313" s="37"/>
      <c r="D313" s="37"/>
      <c r="E313" s="37"/>
      <c r="F313" s="37"/>
      <c r="G313" s="37"/>
      <c r="H313" s="37"/>
      <c r="I313" s="37"/>
      <c r="J313" s="37"/>
      <c r="K313" s="37"/>
      <c r="L313" s="37"/>
    </row>
    <row r="314" spans="1:12">
      <c r="A314" s="37"/>
      <c r="B314" s="37"/>
      <c r="C314" s="37"/>
      <c r="D314" s="37"/>
      <c r="E314" s="37"/>
      <c r="F314" s="37"/>
      <c r="G314" s="37"/>
      <c r="H314" s="37"/>
      <c r="I314" s="37"/>
      <c r="J314" s="37"/>
      <c r="K314" s="37"/>
      <c r="L314" s="37"/>
    </row>
    <row r="315" spans="1:12">
      <c r="A315" s="37"/>
      <c r="B315" s="37"/>
      <c r="C315" s="37"/>
      <c r="D315" s="37"/>
      <c r="E315" s="37"/>
      <c r="F315" s="37"/>
      <c r="G315" s="37"/>
      <c r="H315" s="37"/>
      <c r="I315" s="37"/>
      <c r="J315" s="37"/>
      <c r="K315" s="37"/>
      <c r="L315" s="37"/>
    </row>
    <row r="316" spans="1:12">
      <c r="A316" s="37"/>
      <c r="B316" s="37"/>
      <c r="C316" s="37"/>
      <c r="D316" s="37"/>
      <c r="E316" s="37"/>
      <c r="F316" s="37"/>
      <c r="G316" s="37"/>
      <c r="H316" s="37"/>
      <c r="I316" s="37"/>
      <c r="J316" s="37"/>
      <c r="K316" s="37"/>
      <c r="L316" s="37"/>
    </row>
    <row r="317" spans="1:12">
      <c r="A317" s="37"/>
      <c r="B317" s="37"/>
      <c r="C317" s="37"/>
      <c r="D317" s="37"/>
      <c r="E317" s="37"/>
      <c r="F317" s="37"/>
      <c r="G317" s="37"/>
      <c r="H317" s="37"/>
      <c r="I317" s="37"/>
      <c r="J317" s="37"/>
      <c r="K317" s="37"/>
      <c r="L317" s="37"/>
    </row>
    <row r="318" spans="1:12">
      <c r="A318" s="37"/>
      <c r="B318" s="37"/>
      <c r="C318" s="37"/>
      <c r="D318" s="37"/>
      <c r="E318" s="37"/>
      <c r="F318" s="37"/>
      <c r="G318" s="37"/>
      <c r="H318" s="37"/>
      <c r="I318" s="37"/>
      <c r="J318" s="37"/>
      <c r="K318" s="37"/>
      <c r="L318" s="37"/>
    </row>
    <row r="319" spans="1:12">
      <c r="A319" s="37"/>
      <c r="B319" s="37"/>
      <c r="C319" s="37"/>
      <c r="D319" s="37"/>
      <c r="E319" s="37"/>
      <c r="F319" s="37"/>
      <c r="G319" s="37"/>
      <c r="H319" s="37"/>
      <c r="I319" s="37"/>
      <c r="J319" s="37"/>
      <c r="K319" s="37"/>
      <c r="L319" s="37"/>
    </row>
    <row r="320" spans="1:12">
      <c r="A320" s="37"/>
      <c r="B320" s="37"/>
      <c r="C320" s="37"/>
      <c r="D320" s="37"/>
      <c r="E320" s="37"/>
      <c r="F320" s="37"/>
      <c r="G320" s="37"/>
      <c r="H320" s="37"/>
      <c r="I320" s="37"/>
      <c r="J320" s="37"/>
      <c r="K320" s="37"/>
      <c r="L320" s="37"/>
    </row>
    <row r="321" spans="1:12">
      <c r="A321" s="37"/>
      <c r="B321" s="37"/>
      <c r="C321" s="37"/>
      <c r="D321" s="37"/>
      <c r="E321" s="37"/>
      <c r="F321" s="37"/>
      <c r="G321" s="37"/>
      <c r="H321" s="37"/>
      <c r="I321" s="37"/>
      <c r="J321" s="37"/>
      <c r="K321" s="37"/>
      <c r="L321" s="37"/>
    </row>
    <row r="322" spans="1:12">
      <c r="A322" s="37"/>
      <c r="B322" s="37"/>
      <c r="C322" s="37"/>
      <c r="D322" s="37"/>
      <c r="E322" s="37"/>
      <c r="F322" s="37"/>
      <c r="G322" s="37"/>
      <c r="H322" s="37"/>
      <c r="I322" s="37"/>
      <c r="J322" s="37"/>
      <c r="K322" s="37"/>
      <c r="L322" s="37"/>
    </row>
    <row r="323" spans="1:12">
      <c r="A323" s="37"/>
      <c r="B323" s="37"/>
      <c r="C323" s="37"/>
      <c r="D323" s="37"/>
      <c r="E323" s="37"/>
      <c r="F323" s="37"/>
      <c r="G323" s="37"/>
      <c r="H323" s="37"/>
      <c r="I323" s="37"/>
      <c r="J323" s="37"/>
      <c r="K323" s="37"/>
      <c r="L323" s="37"/>
    </row>
    <row r="324" spans="1:12">
      <c r="A324" s="37"/>
      <c r="B324" s="37"/>
      <c r="C324" s="37"/>
      <c r="D324" s="37"/>
      <c r="E324" s="37"/>
      <c r="F324" s="37"/>
      <c r="G324" s="37"/>
      <c r="H324" s="37"/>
      <c r="I324" s="37"/>
      <c r="J324" s="37"/>
      <c r="K324" s="37"/>
      <c r="L324" s="37"/>
    </row>
    <row r="325" spans="1:12">
      <c r="A325" s="37"/>
      <c r="B325" s="37"/>
      <c r="C325" s="37"/>
      <c r="D325" s="37"/>
      <c r="E325" s="37"/>
      <c r="F325" s="37"/>
      <c r="G325" s="37"/>
      <c r="H325" s="37"/>
      <c r="I325" s="37"/>
      <c r="J325" s="37"/>
      <c r="K325" s="37"/>
      <c r="L325" s="37"/>
    </row>
    <row r="326" spans="1:12">
      <c r="A326" s="37"/>
      <c r="B326" s="37"/>
      <c r="C326" s="37"/>
      <c r="D326" s="37"/>
      <c r="E326" s="37"/>
      <c r="F326" s="37"/>
      <c r="G326" s="37"/>
      <c r="H326" s="37"/>
      <c r="I326" s="37"/>
      <c r="J326" s="37"/>
      <c r="K326" s="37"/>
      <c r="L326" s="37"/>
    </row>
    <row r="327" spans="1:12">
      <c r="A327" s="37"/>
      <c r="B327" s="37"/>
      <c r="C327" s="37"/>
      <c r="D327" s="37"/>
      <c r="E327" s="37"/>
      <c r="F327" s="37"/>
      <c r="G327" s="37"/>
      <c r="H327" s="37"/>
      <c r="I327" s="37"/>
      <c r="J327" s="37"/>
      <c r="K327" s="37"/>
      <c r="L327" s="37"/>
    </row>
    <row r="328" spans="1:12">
      <c r="A328" s="37"/>
      <c r="B328" s="37"/>
      <c r="C328" s="37"/>
      <c r="D328" s="37"/>
      <c r="E328" s="37"/>
      <c r="F328" s="37"/>
      <c r="G328" s="37"/>
      <c r="H328" s="37"/>
      <c r="I328" s="37"/>
      <c r="J328" s="37"/>
      <c r="K328" s="37"/>
      <c r="L328" s="37"/>
    </row>
    <row r="329" spans="1:12">
      <c r="A329" s="37"/>
      <c r="B329" s="37"/>
      <c r="C329" s="37"/>
      <c r="D329" s="37"/>
      <c r="E329" s="37"/>
      <c r="F329" s="37"/>
      <c r="G329" s="37"/>
      <c r="H329" s="37"/>
      <c r="I329" s="37"/>
      <c r="J329" s="37"/>
      <c r="K329" s="37"/>
      <c r="L329" s="37"/>
    </row>
    <row r="330" spans="1:12">
      <c r="A330" s="37"/>
      <c r="B330" s="37"/>
      <c r="C330" s="37"/>
      <c r="D330" s="37"/>
      <c r="E330" s="37"/>
      <c r="F330" s="37"/>
      <c r="G330" s="37"/>
      <c r="H330" s="37"/>
      <c r="I330" s="37"/>
      <c r="J330" s="37"/>
      <c r="K330" s="37"/>
      <c r="L330" s="37"/>
    </row>
    <row r="331" spans="1:12">
      <c r="A331" s="37"/>
      <c r="B331" s="37"/>
      <c r="C331" s="37"/>
      <c r="D331" s="37"/>
      <c r="E331" s="37"/>
      <c r="F331" s="37"/>
      <c r="G331" s="37"/>
      <c r="H331" s="37"/>
      <c r="I331" s="37"/>
      <c r="J331" s="37"/>
      <c r="K331" s="37"/>
      <c r="L331" s="37"/>
    </row>
    <row r="332" spans="1:12">
      <c r="A332" s="37"/>
      <c r="B332" s="37"/>
      <c r="C332" s="37"/>
      <c r="D332" s="37"/>
      <c r="E332" s="37"/>
      <c r="F332" s="37"/>
      <c r="G332" s="37"/>
      <c r="H332" s="37"/>
      <c r="I332" s="37"/>
      <c r="J332" s="37"/>
      <c r="K332" s="37"/>
      <c r="L332" s="37"/>
    </row>
    <row r="333" spans="1:12">
      <c r="A333" s="37"/>
      <c r="B333" s="37"/>
      <c r="C333" s="37"/>
      <c r="D333" s="37"/>
      <c r="E333" s="37"/>
      <c r="F333" s="37"/>
      <c r="G333" s="37"/>
      <c r="H333" s="37"/>
      <c r="I333" s="37"/>
      <c r="J333" s="37"/>
      <c r="K333" s="37"/>
      <c r="L333" s="37"/>
    </row>
    <row r="334" spans="1:12">
      <c r="A334" s="37"/>
      <c r="B334" s="37"/>
      <c r="C334" s="37"/>
      <c r="D334" s="37"/>
      <c r="E334" s="37"/>
      <c r="F334" s="37"/>
      <c r="G334" s="37"/>
      <c r="H334" s="37"/>
      <c r="I334" s="37"/>
      <c r="J334" s="37"/>
      <c r="K334" s="37"/>
      <c r="L334" s="37"/>
    </row>
    <row r="335" spans="1:12">
      <c r="A335" s="37"/>
      <c r="B335" s="37"/>
      <c r="C335" s="37"/>
      <c r="D335" s="37"/>
      <c r="E335" s="37"/>
      <c r="F335" s="37"/>
      <c r="G335" s="37"/>
      <c r="H335" s="37"/>
      <c r="I335" s="37"/>
      <c r="J335" s="37"/>
      <c r="K335" s="37"/>
      <c r="L335" s="37"/>
    </row>
    <row r="336" spans="1:12">
      <c r="A336" s="37"/>
      <c r="B336" s="37"/>
      <c r="C336" s="37"/>
      <c r="D336" s="37"/>
      <c r="E336" s="37"/>
      <c r="F336" s="37"/>
      <c r="G336" s="37"/>
      <c r="H336" s="37"/>
      <c r="I336" s="37"/>
      <c r="J336" s="37"/>
      <c r="K336" s="37"/>
      <c r="L336" s="37"/>
    </row>
    <row r="337" spans="1:12">
      <c r="A337" s="37"/>
      <c r="B337" s="37"/>
      <c r="C337" s="37"/>
      <c r="D337" s="37"/>
      <c r="E337" s="37"/>
      <c r="F337" s="37"/>
      <c r="G337" s="37"/>
      <c r="H337" s="37"/>
      <c r="I337" s="37"/>
      <c r="J337" s="37"/>
      <c r="K337" s="37"/>
      <c r="L337" s="37"/>
    </row>
    <row r="338" spans="1:12">
      <c r="A338" s="37"/>
      <c r="B338" s="37"/>
      <c r="C338" s="37"/>
      <c r="D338" s="37"/>
      <c r="E338" s="37"/>
      <c r="F338" s="37"/>
      <c r="G338" s="37"/>
      <c r="H338" s="37"/>
      <c r="I338" s="37"/>
      <c r="J338" s="37"/>
      <c r="K338" s="37"/>
      <c r="L338" s="37"/>
    </row>
    <row r="339" spans="1:12">
      <c r="A339" s="37"/>
      <c r="B339" s="37"/>
      <c r="C339" s="37"/>
      <c r="D339" s="37"/>
      <c r="E339" s="37"/>
      <c r="F339" s="37"/>
      <c r="G339" s="37"/>
      <c r="H339" s="37"/>
      <c r="I339" s="37"/>
      <c r="J339" s="37"/>
      <c r="K339" s="37"/>
      <c r="L339" s="37"/>
    </row>
    <row r="340" spans="1:12">
      <c r="A340" s="37"/>
      <c r="B340" s="37"/>
      <c r="C340" s="37"/>
      <c r="D340" s="37"/>
      <c r="E340" s="37"/>
      <c r="F340" s="37"/>
      <c r="G340" s="37"/>
      <c r="H340" s="37"/>
      <c r="I340" s="37"/>
      <c r="J340" s="37"/>
      <c r="K340" s="37"/>
      <c r="L340" s="37"/>
    </row>
    <row r="341" spans="1:12">
      <c r="A341" s="37"/>
      <c r="B341" s="37"/>
      <c r="C341" s="37"/>
      <c r="D341" s="37"/>
      <c r="E341" s="37"/>
      <c r="F341" s="37"/>
      <c r="G341" s="37"/>
      <c r="H341" s="37"/>
      <c r="I341" s="37"/>
      <c r="J341" s="37"/>
      <c r="K341" s="37"/>
      <c r="L341" s="37"/>
    </row>
    <row r="342" spans="1:12">
      <c r="A342" s="37"/>
      <c r="B342" s="37"/>
      <c r="C342" s="37"/>
      <c r="D342" s="37"/>
      <c r="E342" s="37"/>
      <c r="F342" s="37"/>
      <c r="G342" s="37"/>
      <c r="H342" s="37"/>
      <c r="I342" s="37"/>
      <c r="J342" s="37"/>
      <c r="K342" s="37"/>
      <c r="L342" s="37"/>
    </row>
    <row r="343" spans="1:12">
      <c r="A343" s="37"/>
      <c r="B343" s="37"/>
      <c r="C343" s="37"/>
      <c r="D343" s="37"/>
      <c r="E343" s="37"/>
      <c r="F343" s="37"/>
      <c r="G343" s="37"/>
      <c r="H343" s="37"/>
      <c r="I343" s="37"/>
      <c r="J343" s="37"/>
      <c r="K343" s="37"/>
      <c r="L343" s="37"/>
    </row>
    <row r="344" spans="1:12">
      <c r="A344" s="37"/>
      <c r="B344" s="37"/>
      <c r="C344" s="37"/>
      <c r="D344" s="37"/>
      <c r="E344" s="37"/>
      <c r="F344" s="37"/>
      <c r="G344" s="37"/>
      <c r="H344" s="37"/>
      <c r="I344" s="37"/>
      <c r="J344" s="37"/>
      <c r="K344" s="37"/>
      <c r="L344" s="37"/>
    </row>
    <row r="345" spans="1:12">
      <c r="A345" s="37"/>
      <c r="B345" s="37"/>
      <c r="C345" s="37"/>
      <c r="D345" s="37"/>
      <c r="E345" s="37"/>
      <c r="F345" s="37"/>
      <c r="G345" s="37"/>
      <c r="H345" s="37"/>
      <c r="I345" s="37"/>
      <c r="J345" s="37"/>
      <c r="K345" s="37"/>
      <c r="L345" s="37"/>
    </row>
    <row r="346" spans="1:12">
      <c r="A346" s="37"/>
      <c r="B346" s="37"/>
      <c r="C346" s="37"/>
      <c r="D346" s="37"/>
      <c r="E346" s="37"/>
      <c r="F346" s="37"/>
      <c r="G346" s="37"/>
      <c r="H346" s="37"/>
      <c r="I346" s="37"/>
      <c r="J346" s="37"/>
      <c r="K346" s="37"/>
      <c r="L346" s="37"/>
    </row>
    <row r="347" spans="1:12">
      <c r="A347" s="37"/>
      <c r="B347" s="37"/>
      <c r="C347" s="37"/>
      <c r="D347" s="37"/>
      <c r="E347" s="37"/>
      <c r="F347" s="37"/>
      <c r="G347" s="37"/>
      <c r="H347" s="37"/>
      <c r="I347" s="37"/>
      <c r="J347" s="37"/>
      <c r="K347" s="37"/>
      <c r="L347" s="37"/>
    </row>
    <row r="348" spans="1:12">
      <c r="A348" s="37"/>
      <c r="B348" s="37"/>
      <c r="C348" s="37"/>
      <c r="D348" s="37"/>
      <c r="E348" s="37"/>
      <c r="F348" s="37"/>
      <c r="G348" s="37"/>
      <c r="H348" s="37"/>
      <c r="I348" s="37"/>
      <c r="J348" s="37"/>
      <c r="K348" s="37"/>
      <c r="L348" s="37"/>
    </row>
    <row r="349" spans="1:12">
      <c r="A349" s="37"/>
      <c r="B349" s="37"/>
      <c r="C349" s="37"/>
      <c r="D349" s="37"/>
      <c r="E349" s="37"/>
      <c r="F349" s="37"/>
      <c r="G349" s="37"/>
      <c r="H349" s="37"/>
      <c r="I349" s="37"/>
      <c r="J349" s="37"/>
      <c r="K349" s="37"/>
      <c r="L349" s="37"/>
    </row>
    <row r="350" spans="1:12">
      <c r="A350" s="37"/>
      <c r="B350" s="37"/>
      <c r="C350" s="37"/>
      <c r="D350" s="37"/>
      <c r="E350" s="37"/>
      <c r="F350" s="37"/>
      <c r="G350" s="37"/>
      <c r="H350" s="37"/>
      <c r="I350" s="37"/>
      <c r="J350" s="37"/>
      <c r="K350" s="37"/>
      <c r="L350" s="37"/>
    </row>
    <row r="351" spans="1:12">
      <c r="A351" s="37"/>
      <c r="B351" s="37"/>
      <c r="C351" s="37"/>
      <c r="D351" s="37"/>
      <c r="E351" s="37"/>
      <c r="F351" s="37"/>
      <c r="G351" s="37"/>
      <c r="H351" s="37"/>
      <c r="I351" s="37"/>
      <c r="J351" s="37"/>
      <c r="K351" s="37"/>
      <c r="L351" s="37"/>
    </row>
    <row r="352" spans="1:12">
      <c r="A352" s="37"/>
      <c r="B352" s="37"/>
      <c r="C352" s="37"/>
      <c r="D352" s="37"/>
      <c r="E352" s="37"/>
      <c r="F352" s="37"/>
      <c r="G352" s="37"/>
      <c r="H352" s="37"/>
      <c r="I352" s="37"/>
      <c r="J352" s="37"/>
      <c r="K352" s="37"/>
      <c r="L352" s="37"/>
    </row>
    <row r="353" spans="1:12">
      <c r="A353" s="37"/>
      <c r="B353" s="37"/>
      <c r="C353" s="37"/>
      <c r="D353" s="37"/>
      <c r="E353" s="37"/>
      <c r="F353" s="37"/>
      <c r="G353" s="37"/>
      <c r="H353" s="37"/>
      <c r="I353" s="37"/>
      <c r="J353" s="37"/>
      <c r="K353" s="37"/>
      <c r="L353" s="37"/>
    </row>
    <row r="354" spans="1:12">
      <c r="A354" s="37"/>
      <c r="B354" s="37"/>
      <c r="C354" s="37"/>
      <c r="D354" s="37"/>
      <c r="E354" s="37"/>
      <c r="F354" s="37"/>
      <c r="G354" s="37"/>
      <c r="H354" s="37"/>
      <c r="I354" s="37"/>
      <c r="J354" s="37"/>
      <c r="K354" s="37"/>
      <c r="L354" s="37"/>
    </row>
    <row r="355" spans="1:12">
      <c r="A355" s="37"/>
      <c r="B355" s="37"/>
      <c r="C355" s="37"/>
      <c r="D355" s="37"/>
      <c r="E355" s="37"/>
      <c r="F355" s="37"/>
      <c r="G355" s="37"/>
      <c r="H355" s="37"/>
      <c r="I355" s="37"/>
      <c r="J355" s="37"/>
      <c r="K355" s="37"/>
      <c r="L355" s="37"/>
    </row>
    <row r="356" spans="1:12">
      <c r="A356" s="37"/>
      <c r="B356" s="37"/>
      <c r="C356" s="37"/>
      <c r="D356" s="37"/>
      <c r="E356" s="37"/>
      <c r="F356" s="37"/>
      <c r="G356" s="37"/>
      <c r="H356" s="37"/>
      <c r="I356" s="37"/>
      <c r="J356" s="37"/>
      <c r="K356" s="37"/>
      <c r="L356" s="37"/>
    </row>
    <row r="357" spans="1:12">
      <c r="A357" s="37"/>
      <c r="B357" s="37"/>
      <c r="C357" s="37"/>
      <c r="D357" s="37"/>
      <c r="E357" s="37"/>
      <c r="F357" s="37"/>
      <c r="G357" s="37"/>
      <c r="H357" s="37"/>
      <c r="I357" s="37"/>
      <c r="J357" s="37"/>
      <c r="K357" s="37"/>
      <c r="L357" s="37"/>
    </row>
    <row r="358" spans="1:12">
      <c r="A358" s="37"/>
      <c r="B358" s="37"/>
      <c r="C358" s="37"/>
      <c r="D358" s="37"/>
      <c r="E358" s="37"/>
      <c r="F358" s="37"/>
      <c r="G358" s="37"/>
      <c r="H358" s="37"/>
      <c r="I358" s="37"/>
      <c r="J358" s="37"/>
      <c r="K358" s="37"/>
      <c r="L358" s="37"/>
    </row>
    <row r="359" spans="1:12">
      <c r="A359" s="37"/>
      <c r="B359" s="37"/>
      <c r="C359" s="37"/>
      <c r="D359" s="37"/>
      <c r="E359" s="37"/>
      <c r="F359" s="37"/>
      <c r="G359" s="37"/>
      <c r="H359" s="37"/>
      <c r="I359" s="37"/>
      <c r="J359" s="37"/>
      <c r="K359" s="37"/>
      <c r="L359" s="37"/>
    </row>
    <row r="360" spans="1:12">
      <c r="A360" s="37"/>
      <c r="B360" s="37"/>
      <c r="C360" s="37"/>
      <c r="D360" s="37"/>
      <c r="E360" s="37"/>
      <c r="F360" s="37"/>
      <c r="G360" s="37"/>
      <c r="H360" s="37"/>
      <c r="I360" s="37"/>
      <c r="J360" s="37"/>
      <c r="K360" s="37"/>
      <c r="L360" s="37"/>
    </row>
    <row r="361" spans="1:12">
      <c r="A361" s="37"/>
      <c r="B361" s="37"/>
      <c r="C361" s="37"/>
      <c r="D361" s="37"/>
      <c r="E361" s="37"/>
      <c r="F361" s="37"/>
      <c r="G361" s="37"/>
      <c r="H361" s="37"/>
      <c r="I361" s="37"/>
      <c r="J361" s="37"/>
      <c r="K361" s="37"/>
      <c r="L361" s="37"/>
    </row>
    <row r="362" spans="1:12">
      <c r="A362" s="37"/>
      <c r="B362" s="37"/>
      <c r="C362" s="37"/>
      <c r="D362" s="37"/>
      <c r="E362" s="37"/>
      <c r="F362" s="37"/>
      <c r="G362" s="37"/>
      <c r="H362" s="37"/>
      <c r="I362" s="37"/>
      <c r="J362" s="37"/>
      <c r="K362" s="37"/>
      <c r="L362" s="37"/>
    </row>
    <row r="363" spans="1:12">
      <c r="A363" s="37"/>
      <c r="B363" s="37"/>
      <c r="C363" s="37"/>
      <c r="D363" s="37"/>
      <c r="E363" s="37"/>
      <c r="F363" s="37"/>
      <c r="G363" s="37"/>
      <c r="H363" s="37"/>
      <c r="I363" s="37"/>
      <c r="J363" s="37"/>
      <c r="K363" s="37"/>
      <c r="L363" s="37"/>
    </row>
    <row r="364" spans="1:12">
      <c r="A364" s="37"/>
      <c r="B364" s="37"/>
      <c r="C364" s="37"/>
      <c r="D364" s="37"/>
      <c r="E364" s="37"/>
      <c r="F364" s="37"/>
      <c r="G364" s="37"/>
      <c r="H364" s="37"/>
      <c r="I364" s="37"/>
      <c r="J364" s="37"/>
      <c r="K364" s="37"/>
      <c r="L364" s="37"/>
    </row>
    <row r="365" spans="1:12">
      <c r="A365" s="37"/>
      <c r="B365" s="37"/>
      <c r="C365" s="37"/>
      <c r="D365" s="37"/>
      <c r="E365" s="37"/>
      <c r="F365" s="37"/>
      <c r="G365" s="37"/>
      <c r="H365" s="37"/>
      <c r="I365" s="37"/>
      <c r="J365" s="37"/>
      <c r="K365" s="37"/>
      <c r="L365" s="37"/>
    </row>
    <row r="366" spans="1:12">
      <c r="A366" s="37"/>
      <c r="B366" s="37"/>
      <c r="C366" s="37"/>
      <c r="D366" s="37"/>
      <c r="E366" s="37"/>
      <c r="F366" s="37"/>
      <c r="G366" s="37"/>
      <c r="H366" s="37"/>
      <c r="I366" s="37"/>
      <c r="J366" s="37"/>
      <c r="K366" s="37"/>
      <c r="L366" s="37"/>
    </row>
    <row r="367" spans="1:12">
      <c r="A367" s="37"/>
      <c r="B367" s="37"/>
      <c r="C367" s="37"/>
      <c r="D367" s="37"/>
      <c r="E367" s="37"/>
      <c r="F367" s="37"/>
      <c r="G367" s="37"/>
      <c r="H367" s="37"/>
      <c r="I367" s="37"/>
      <c r="J367" s="37"/>
      <c r="K367" s="37"/>
      <c r="L367" s="37"/>
    </row>
    <row r="368" spans="1:12">
      <c r="A368" s="37"/>
      <c r="B368" s="37"/>
      <c r="C368" s="37"/>
      <c r="D368" s="37"/>
      <c r="E368" s="37"/>
      <c r="F368" s="37"/>
      <c r="G368" s="37"/>
      <c r="H368" s="37"/>
      <c r="I368" s="37"/>
      <c r="J368" s="37"/>
      <c r="K368" s="37"/>
      <c r="L368" s="37"/>
    </row>
    <row r="369" spans="1:12">
      <c r="A369" s="37"/>
      <c r="B369" s="37"/>
      <c r="C369" s="37"/>
      <c r="D369" s="37"/>
      <c r="E369" s="37"/>
      <c r="F369" s="37"/>
      <c r="G369" s="37"/>
      <c r="H369" s="37"/>
      <c r="I369" s="37"/>
      <c r="J369" s="37"/>
      <c r="K369" s="37"/>
      <c r="L369" s="37"/>
    </row>
    <row r="370" spans="1:12">
      <c r="A370" s="37"/>
      <c r="B370" s="37"/>
      <c r="C370" s="37"/>
      <c r="D370" s="37"/>
      <c r="E370" s="37"/>
      <c r="F370" s="37"/>
      <c r="G370" s="37"/>
      <c r="H370" s="37"/>
      <c r="I370" s="37"/>
      <c r="J370" s="37"/>
      <c r="K370" s="37"/>
      <c r="L370" s="37"/>
    </row>
    <row r="371" spans="1:12">
      <c r="A371" s="37"/>
      <c r="B371" s="37"/>
      <c r="C371" s="37"/>
      <c r="D371" s="37"/>
      <c r="E371" s="37"/>
      <c r="F371" s="37"/>
      <c r="G371" s="37"/>
      <c r="H371" s="37"/>
      <c r="I371" s="37"/>
      <c r="J371" s="37"/>
      <c r="K371" s="37"/>
      <c r="L371" s="37"/>
    </row>
    <row r="372" spans="1:12">
      <c r="A372" s="37"/>
      <c r="B372" s="37"/>
      <c r="C372" s="37"/>
      <c r="D372" s="37"/>
      <c r="E372" s="37"/>
      <c r="F372" s="37"/>
      <c r="G372" s="37"/>
      <c r="H372" s="37"/>
      <c r="I372" s="37"/>
      <c r="J372" s="37"/>
      <c r="K372" s="37"/>
      <c r="L372" s="37"/>
    </row>
    <row r="373" spans="1:12">
      <c r="A373" s="37"/>
      <c r="B373" s="37"/>
      <c r="C373" s="37"/>
      <c r="D373" s="37"/>
      <c r="E373" s="37"/>
      <c r="F373" s="37"/>
      <c r="G373" s="37"/>
      <c r="H373" s="37"/>
      <c r="I373" s="37"/>
      <c r="J373" s="37"/>
      <c r="K373" s="37"/>
      <c r="L373" s="37"/>
    </row>
    <row r="374" spans="1:12">
      <c r="A374" s="37"/>
      <c r="B374" s="37"/>
      <c r="C374" s="37"/>
      <c r="D374" s="37"/>
      <c r="E374" s="37"/>
      <c r="F374" s="37"/>
      <c r="G374" s="37"/>
      <c r="H374" s="37"/>
      <c r="I374" s="37"/>
      <c r="J374" s="37"/>
      <c r="K374" s="37"/>
      <c r="L374" s="37"/>
    </row>
    <row r="375" spans="1:12">
      <c r="A375" s="37"/>
      <c r="B375" s="37"/>
      <c r="C375" s="37"/>
      <c r="D375" s="37"/>
      <c r="E375" s="37"/>
      <c r="F375" s="37"/>
      <c r="G375" s="37"/>
      <c r="H375" s="37"/>
      <c r="I375" s="37"/>
      <c r="J375" s="37"/>
      <c r="K375" s="37"/>
      <c r="L375" s="37"/>
    </row>
    <row r="376" spans="1:12">
      <c r="A376" s="37"/>
      <c r="B376" s="37"/>
      <c r="C376" s="37"/>
      <c r="D376" s="37"/>
      <c r="E376" s="37"/>
      <c r="F376" s="37"/>
      <c r="G376" s="37"/>
      <c r="H376" s="37"/>
      <c r="I376" s="37"/>
      <c r="J376" s="37"/>
      <c r="K376" s="37"/>
      <c r="L376" s="37"/>
    </row>
    <row r="377" spans="1:12">
      <c r="A377" s="37"/>
      <c r="B377" s="37"/>
      <c r="C377" s="37"/>
      <c r="D377" s="37"/>
      <c r="E377" s="37"/>
      <c r="F377" s="37"/>
      <c r="G377" s="37"/>
      <c r="H377" s="37"/>
      <c r="I377" s="37"/>
      <c r="J377" s="37"/>
      <c r="K377" s="37"/>
      <c r="L377" s="37"/>
    </row>
    <row r="378" spans="1:12">
      <c r="A378" s="37"/>
      <c r="B378" s="37"/>
      <c r="C378" s="37"/>
      <c r="D378" s="37"/>
      <c r="E378" s="37"/>
      <c r="F378" s="37"/>
      <c r="G378" s="37"/>
      <c r="H378" s="37"/>
      <c r="I378" s="37"/>
      <c r="J378" s="37"/>
      <c r="K378" s="37"/>
      <c r="L378" s="37"/>
    </row>
    <row r="379" spans="1:12">
      <c r="A379" s="37"/>
      <c r="B379" s="37"/>
      <c r="C379" s="37"/>
      <c r="D379" s="37"/>
      <c r="E379" s="37"/>
      <c r="F379" s="37"/>
      <c r="G379" s="37"/>
      <c r="H379" s="37"/>
      <c r="I379" s="37"/>
      <c r="J379" s="37"/>
      <c r="K379" s="37"/>
      <c r="L379" s="37"/>
    </row>
    <row r="380" spans="1:12">
      <c r="A380" s="37"/>
      <c r="B380" s="37"/>
      <c r="C380" s="37"/>
      <c r="D380" s="37"/>
      <c r="E380" s="37"/>
      <c r="F380" s="37"/>
      <c r="G380" s="37"/>
      <c r="H380" s="37"/>
      <c r="I380" s="37"/>
      <c r="J380" s="37"/>
      <c r="K380" s="37"/>
      <c r="L380" s="37"/>
    </row>
    <row r="381" spans="1:12">
      <c r="A381" s="37"/>
      <c r="B381" s="37"/>
      <c r="C381" s="37"/>
      <c r="D381" s="37"/>
      <c r="E381" s="37"/>
      <c r="F381" s="37"/>
      <c r="G381" s="37"/>
      <c r="H381" s="37"/>
      <c r="I381" s="37"/>
      <c r="J381" s="37"/>
      <c r="K381" s="37"/>
      <c r="L381" s="37"/>
    </row>
    <row r="382" spans="1:12">
      <c r="A382" s="37"/>
      <c r="B382" s="37"/>
      <c r="C382" s="37"/>
      <c r="D382" s="37"/>
      <c r="E382" s="37"/>
      <c r="F382" s="37"/>
      <c r="G382" s="37"/>
      <c r="H382" s="37"/>
      <c r="I382" s="37"/>
      <c r="J382" s="37"/>
      <c r="K382" s="37"/>
      <c r="L382" s="37"/>
    </row>
    <row r="383" spans="1:12">
      <c r="A383" s="37"/>
      <c r="B383" s="37"/>
      <c r="C383" s="37"/>
      <c r="D383" s="37"/>
      <c r="E383" s="37"/>
      <c r="F383" s="37"/>
      <c r="G383" s="37"/>
      <c r="H383" s="37"/>
      <c r="I383" s="37"/>
      <c r="J383" s="37"/>
      <c r="K383" s="37"/>
      <c r="L383" s="37"/>
    </row>
    <row r="384" spans="1:12">
      <c r="A384" s="37"/>
      <c r="B384" s="37"/>
      <c r="C384" s="37"/>
      <c r="D384" s="37"/>
      <c r="E384" s="37"/>
      <c r="F384" s="37"/>
      <c r="G384" s="37"/>
      <c r="H384" s="37"/>
      <c r="I384" s="37"/>
      <c r="J384" s="37"/>
      <c r="K384" s="37"/>
      <c r="L384" s="37"/>
    </row>
    <row r="385" spans="1:12">
      <c r="A385" s="37"/>
      <c r="B385" s="37"/>
      <c r="C385" s="37"/>
      <c r="D385" s="37"/>
      <c r="E385" s="37"/>
      <c r="F385" s="37"/>
      <c r="G385" s="37"/>
      <c r="H385" s="37"/>
      <c r="I385" s="37"/>
      <c r="J385" s="37"/>
      <c r="K385" s="37"/>
      <c r="L385" s="37"/>
    </row>
    <row r="386" spans="1:12">
      <c r="A386" s="37"/>
      <c r="B386" s="37"/>
      <c r="C386" s="37"/>
      <c r="D386" s="37"/>
      <c r="E386" s="37"/>
      <c r="F386" s="37"/>
      <c r="G386" s="37"/>
      <c r="H386" s="37"/>
      <c r="I386" s="37"/>
      <c r="J386" s="37"/>
      <c r="K386" s="37"/>
      <c r="L386" s="37"/>
    </row>
    <row r="387" spans="1:12">
      <c r="A387" s="37"/>
      <c r="B387" s="37"/>
      <c r="C387" s="37"/>
      <c r="D387" s="37"/>
      <c r="E387" s="37"/>
      <c r="F387" s="37"/>
      <c r="G387" s="37"/>
      <c r="H387" s="37"/>
      <c r="I387" s="37"/>
      <c r="J387" s="37"/>
      <c r="K387" s="37"/>
      <c r="L387" s="37"/>
    </row>
    <row r="388" spans="1:12">
      <c r="A388" s="37"/>
      <c r="B388" s="37"/>
      <c r="C388" s="37"/>
      <c r="D388" s="37"/>
      <c r="E388" s="37"/>
      <c r="F388" s="37"/>
      <c r="G388" s="37"/>
      <c r="H388" s="37"/>
      <c r="I388" s="37"/>
      <c r="J388" s="37"/>
      <c r="K388" s="37"/>
      <c r="L388" s="37"/>
    </row>
    <row r="389" spans="1:12">
      <c r="A389" s="37"/>
      <c r="B389" s="37"/>
      <c r="C389" s="37"/>
      <c r="D389" s="37"/>
      <c r="E389" s="37"/>
      <c r="F389" s="37"/>
      <c r="G389" s="37"/>
      <c r="H389" s="37"/>
      <c r="I389" s="37"/>
      <c r="J389" s="37"/>
      <c r="K389" s="37"/>
      <c r="L389" s="37"/>
    </row>
    <row r="390" spans="1:12">
      <c r="A390" s="37"/>
      <c r="B390" s="37"/>
      <c r="C390" s="37"/>
      <c r="D390" s="37"/>
      <c r="E390" s="37"/>
      <c r="F390" s="37"/>
      <c r="G390" s="37"/>
      <c r="H390" s="37"/>
      <c r="I390" s="37"/>
      <c r="J390" s="37"/>
      <c r="K390" s="37"/>
      <c r="L390" s="37"/>
    </row>
    <row r="391" spans="1:12">
      <c r="A391" s="37"/>
      <c r="B391" s="37"/>
      <c r="C391" s="37"/>
      <c r="D391" s="37"/>
      <c r="E391" s="37"/>
      <c r="F391" s="37"/>
      <c r="G391" s="37"/>
      <c r="H391" s="37"/>
      <c r="I391" s="37"/>
      <c r="J391" s="37"/>
      <c r="K391" s="37"/>
      <c r="L391" s="37"/>
    </row>
    <row r="392" spans="1:12">
      <c r="A392" s="37"/>
      <c r="B392" s="37"/>
      <c r="C392" s="37"/>
      <c r="D392" s="37"/>
      <c r="E392" s="37"/>
      <c r="F392" s="37"/>
      <c r="G392" s="37"/>
      <c r="H392" s="37"/>
      <c r="I392" s="37"/>
      <c r="J392" s="37"/>
      <c r="K392" s="37"/>
      <c r="L392" s="37"/>
    </row>
    <row r="393" spans="1:12">
      <c r="A393" s="37"/>
      <c r="B393" s="37"/>
      <c r="C393" s="37"/>
      <c r="D393" s="37"/>
      <c r="E393" s="37"/>
      <c r="F393" s="37"/>
      <c r="G393" s="37"/>
      <c r="H393" s="37"/>
      <c r="I393" s="37"/>
      <c r="J393" s="37"/>
      <c r="K393" s="37"/>
      <c r="L393" s="37"/>
    </row>
    <row r="394" spans="1:12">
      <c r="A394" s="37"/>
      <c r="B394" s="37"/>
      <c r="C394" s="37"/>
      <c r="D394" s="37"/>
      <c r="E394" s="37"/>
      <c r="F394" s="37"/>
      <c r="G394" s="37"/>
      <c r="H394" s="37"/>
      <c r="I394" s="37"/>
      <c r="J394" s="37"/>
      <c r="K394" s="37"/>
      <c r="L394" s="37"/>
    </row>
    <row r="395" spans="1:12">
      <c r="A395" s="37"/>
      <c r="B395" s="37"/>
      <c r="C395" s="37"/>
      <c r="D395" s="37"/>
      <c r="E395" s="37"/>
      <c r="F395" s="37"/>
      <c r="G395" s="37"/>
      <c r="H395" s="37"/>
      <c r="I395" s="37"/>
      <c r="J395" s="37"/>
      <c r="K395" s="37"/>
      <c r="L395" s="37"/>
    </row>
    <row r="396" spans="1:12">
      <c r="A396" s="37"/>
      <c r="B396" s="37"/>
      <c r="C396" s="37"/>
      <c r="D396" s="37"/>
      <c r="E396" s="37"/>
      <c r="F396" s="37"/>
      <c r="G396" s="37"/>
      <c r="H396" s="37"/>
      <c r="I396" s="37"/>
      <c r="J396" s="37"/>
      <c r="K396" s="37"/>
      <c r="L396" s="37"/>
    </row>
    <row r="397" spans="1:12">
      <c r="A397" s="37"/>
      <c r="B397" s="37"/>
      <c r="C397" s="37"/>
      <c r="D397" s="37"/>
      <c r="E397" s="37"/>
      <c r="F397" s="37"/>
      <c r="G397" s="37"/>
      <c r="H397" s="37"/>
      <c r="I397" s="37"/>
      <c r="J397" s="37"/>
      <c r="K397" s="37"/>
      <c r="L397" s="37"/>
    </row>
    <row r="398" spans="1:12">
      <c r="A398" s="37"/>
      <c r="B398" s="37"/>
      <c r="C398" s="37"/>
      <c r="D398" s="37"/>
      <c r="E398" s="37"/>
      <c r="F398" s="37"/>
      <c r="G398" s="37"/>
      <c r="H398" s="37"/>
      <c r="I398" s="37"/>
      <c r="J398" s="37"/>
      <c r="K398" s="37"/>
      <c r="L398" s="37"/>
    </row>
    <row r="399" spans="1:12">
      <c r="A399" s="37"/>
      <c r="B399" s="37"/>
      <c r="C399" s="37"/>
      <c r="D399" s="37"/>
      <c r="E399" s="37"/>
      <c r="F399" s="37"/>
      <c r="G399" s="37"/>
      <c r="H399" s="37"/>
      <c r="I399" s="37"/>
      <c r="J399" s="37"/>
      <c r="K399" s="37"/>
      <c r="L399" s="37"/>
    </row>
    <row r="400" spans="1:12">
      <c r="A400" s="37"/>
      <c r="B400" s="37"/>
      <c r="C400" s="37"/>
      <c r="D400" s="37"/>
      <c r="E400" s="37"/>
      <c r="F400" s="37"/>
      <c r="G400" s="37"/>
      <c r="H400" s="37"/>
      <c r="I400" s="37"/>
      <c r="J400" s="37"/>
      <c r="K400" s="37"/>
      <c r="L400" s="37"/>
    </row>
    <row r="401" spans="1:12">
      <c r="A401" s="37"/>
      <c r="B401" s="37"/>
      <c r="C401" s="37"/>
      <c r="D401" s="37"/>
      <c r="E401" s="37"/>
      <c r="F401" s="37"/>
      <c r="G401" s="37"/>
      <c r="H401" s="37"/>
      <c r="I401" s="37"/>
      <c r="J401" s="37"/>
      <c r="K401" s="37"/>
      <c r="L401" s="37"/>
    </row>
    <row r="402" spans="1:12">
      <c r="A402" s="37"/>
      <c r="B402" s="37"/>
      <c r="C402" s="37"/>
      <c r="D402" s="37"/>
      <c r="E402" s="37"/>
      <c r="F402" s="37"/>
      <c r="G402" s="37"/>
      <c r="H402" s="37"/>
      <c r="I402" s="37"/>
      <c r="J402" s="37"/>
      <c r="K402" s="37"/>
      <c r="L402" s="37"/>
    </row>
    <row r="403" spans="1:12">
      <c r="A403" s="37"/>
      <c r="B403" s="37"/>
      <c r="C403" s="37"/>
      <c r="D403" s="37"/>
      <c r="E403" s="37"/>
      <c r="F403" s="37"/>
      <c r="G403" s="37"/>
      <c r="H403" s="37"/>
      <c r="I403" s="37"/>
      <c r="J403" s="37"/>
      <c r="K403" s="37"/>
      <c r="L403" s="37"/>
    </row>
    <row r="404" spans="1:12">
      <c r="A404" s="37"/>
      <c r="B404" s="37"/>
      <c r="C404" s="37"/>
      <c r="D404" s="37"/>
      <c r="E404" s="37"/>
      <c r="F404" s="37"/>
      <c r="G404" s="37"/>
      <c r="H404" s="37"/>
      <c r="I404" s="37"/>
      <c r="J404" s="37"/>
      <c r="K404" s="37"/>
      <c r="L404" s="37"/>
    </row>
    <row r="405" spans="1:12">
      <c r="A405" s="37"/>
      <c r="B405" s="37"/>
      <c r="C405" s="37"/>
      <c r="D405" s="37"/>
      <c r="E405" s="37"/>
      <c r="F405" s="37"/>
      <c r="G405" s="37"/>
      <c r="H405" s="37"/>
      <c r="I405" s="37"/>
      <c r="J405" s="37"/>
      <c r="K405" s="37"/>
      <c r="L405" s="37"/>
    </row>
    <row r="406" spans="1:12">
      <c r="A406" s="37"/>
      <c r="B406" s="37"/>
      <c r="C406" s="37"/>
      <c r="D406" s="37"/>
      <c r="E406" s="37"/>
      <c r="F406" s="37"/>
      <c r="G406" s="37"/>
      <c r="H406" s="37"/>
      <c r="I406" s="37"/>
      <c r="J406" s="37"/>
      <c r="K406" s="37"/>
      <c r="L406" s="37"/>
    </row>
    <row r="407" spans="1:12">
      <c r="A407" s="37"/>
      <c r="B407" s="37"/>
      <c r="C407" s="37"/>
      <c r="D407" s="37"/>
      <c r="E407" s="37"/>
      <c r="F407" s="37"/>
      <c r="G407" s="37"/>
      <c r="H407" s="37"/>
      <c r="I407" s="37"/>
      <c r="J407" s="37"/>
      <c r="K407" s="37"/>
      <c r="L407" s="37"/>
    </row>
    <row r="408" spans="1:12">
      <c r="A408" s="37"/>
      <c r="B408" s="37"/>
      <c r="C408" s="37"/>
      <c r="D408" s="37"/>
      <c r="E408" s="37"/>
      <c r="F408" s="37"/>
      <c r="G408" s="37"/>
      <c r="H408" s="37"/>
      <c r="I408" s="37"/>
      <c r="J408" s="37"/>
      <c r="K408" s="37"/>
      <c r="L408" s="37"/>
    </row>
    <row r="409" spans="1:12">
      <c r="A409" s="37"/>
      <c r="B409" s="37"/>
      <c r="C409" s="37"/>
      <c r="D409" s="37"/>
      <c r="E409" s="37"/>
      <c r="F409" s="37"/>
      <c r="G409" s="37"/>
      <c r="H409" s="37"/>
      <c r="I409" s="37"/>
      <c r="J409" s="37"/>
      <c r="K409" s="37"/>
      <c r="L409" s="37"/>
    </row>
    <row r="410" spans="1:12">
      <c r="A410" s="37"/>
      <c r="B410" s="37"/>
      <c r="C410" s="37"/>
      <c r="D410" s="37"/>
      <c r="E410" s="37"/>
      <c r="F410" s="37"/>
      <c r="G410" s="37"/>
      <c r="H410" s="37"/>
      <c r="I410" s="37"/>
      <c r="J410" s="37"/>
      <c r="K410" s="37"/>
      <c r="L410" s="37"/>
    </row>
    <row r="411" spans="1:12">
      <c r="A411" s="37"/>
      <c r="B411" s="37"/>
      <c r="C411" s="37"/>
      <c r="D411" s="37"/>
      <c r="E411" s="37"/>
      <c r="F411" s="37"/>
      <c r="G411" s="37"/>
      <c r="H411" s="37"/>
      <c r="I411" s="37"/>
      <c r="J411" s="37"/>
      <c r="K411" s="37"/>
      <c r="L411" s="37"/>
    </row>
    <row r="412" spans="1:12">
      <c r="A412" s="37"/>
      <c r="B412" s="37"/>
      <c r="C412" s="37"/>
      <c r="D412" s="37"/>
      <c r="E412" s="37"/>
      <c r="F412" s="37"/>
      <c r="G412" s="37"/>
      <c r="H412" s="37"/>
      <c r="I412" s="37"/>
      <c r="J412" s="37"/>
      <c r="K412" s="37"/>
      <c r="L412" s="37"/>
    </row>
    <row r="413" spans="1:12">
      <c r="A413" s="37"/>
      <c r="B413" s="37"/>
      <c r="C413" s="37"/>
      <c r="D413" s="37"/>
      <c r="E413" s="37"/>
      <c r="F413" s="37"/>
      <c r="G413" s="37"/>
      <c r="H413" s="37"/>
      <c r="I413" s="37"/>
      <c r="J413" s="37"/>
      <c r="K413" s="37"/>
      <c r="L413" s="37"/>
    </row>
    <row r="414" spans="1:12">
      <c r="A414" s="37"/>
      <c r="B414" s="37"/>
      <c r="C414" s="37"/>
      <c r="D414" s="37"/>
      <c r="E414" s="37"/>
      <c r="F414" s="37"/>
      <c r="G414" s="37"/>
      <c r="H414" s="37"/>
      <c r="I414" s="37"/>
      <c r="J414" s="37"/>
      <c r="K414" s="37"/>
      <c r="L414" s="37"/>
    </row>
    <row r="415" spans="1:12">
      <c r="A415" s="37"/>
      <c r="B415" s="37"/>
      <c r="C415" s="37"/>
      <c r="D415" s="37"/>
      <c r="E415" s="37"/>
      <c r="F415" s="37"/>
      <c r="G415" s="37"/>
      <c r="H415" s="37"/>
      <c r="I415" s="37"/>
      <c r="J415" s="37"/>
      <c r="K415" s="37"/>
      <c r="L415" s="37"/>
    </row>
    <row r="416" spans="1:12">
      <c r="A416" s="37"/>
      <c r="B416" s="37"/>
      <c r="C416" s="37"/>
      <c r="D416" s="37"/>
      <c r="E416" s="37"/>
      <c r="F416" s="37"/>
      <c r="G416" s="37"/>
      <c r="H416" s="37"/>
      <c r="I416" s="37"/>
      <c r="J416" s="37"/>
      <c r="K416" s="37"/>
      <c r="L416" s="37"/>
    </row>
    <row r="417" spans="1:12">
      <c r="A417" s="37"/>
      <c r="B417" s="37"/>
      <c r="C417" s="37"/>
      <c r="D417" s="37"/>
      <c r="E417" s="37"/>
      <c r="F417" s="37"/>
      <c r="G417" s="37"/>
      <c r="H417" s="37"/>
      <c r="I417" s="37"/>
      <c r="J417" s="37"/>
      <c r="K417" s="37"/>
      <c r="L417" s="37"/>
    </row>
    <row r="418" spans="1:12">
      <c r="A418" s="37"/>
      <c r="B418" s="37"/>
      <c r="C418" s="37"/>
      <c r="D418" s="37"/>
      <c r="E418" s="37"/>
      <c r="F418" s="37"/>
      <c r="G418" s="37"/>
      <c r="H418" s="37"/>
      <c r="I418" s="37"/>
      <c r="J418" s="37"/>
      <c r="K418" s="37"/>
      <c r="L418" s="37"/>
    </row>
    <row r="419" spans="1:12">
      <c r="A419" s="37"/>
      <c r="B419" s="37"/>
      <c r="C419" s="37"/>
      <c r="D419" s="37"/>
      <c r="E419" s="37"/>
      <c r="F419" s="37"/>
      <c r="G419" s="37"/>
      <c r="H419" s="37"/>
      <c r="I419" s="37"/>
      <c r="J419" s="37"/>
      <c r="K419" s="37"/>
      <c r="L419" s="37"/>
    </row>
    <row r="420" spans="1:12">
      <c r="A420" s="37"/>
      <c r="B420" s="37"/>
      <c r="C420" s="37"/>
      <c r="D420" s="37"/>
      <c r="E420" s="37"/>
      <c r="F420" s="37"/>
      <c r="G420" s="37"/>
      <c r="H420" s="37"/>
      <c r="I420" s="37"/>
      <c r="J420" s="37"/>
      <c r="K420" s="37"/>
      <c r="L420" s="37"/>
    </row>
    <row r="421" spans="1:12">
      <c r="A421" s="37"/>
      <c r="B421" s="37"/>
      <c r="C421" s="37"/>
      <c r="D421" s="37"/>
      <c r="E421" s="37"/>
      <c r="F421" s="37"/>
      <c r="G421" s="37"/>
      <c r="H421" s="37"/>
      <c r="I421" s="37"/>
      <c r="J421" s="37"/>
      <c r="K421" s="37"/>
      <c r="L421" s="37"/>
    </row>
    <row r="422" spans="1:12">
      <c r="A422" s="37"/>
      <c r="B422" s="37"/>
      <c r="C422" s="37"/>
      <c r="D422" s="37"/>
      <c r="E422" s="37"/>
      <c r="F422" s="37"/>
      <c r="G422" s="37"/>
      <c r="H422" s="37"/>
      <c r="I422" s="37"/>
      <c r="J422" s="37"/>
      <c r="K422" s="37"/>
      <c r="L422" s="37"/>
    </row>
    <row r="423" spans="1:12">
      <c r="A423" s="37"/>
      <c r="B423" s="37"/>
      <c r="C423" s="37"/>
      <c r="D423" s="37"/>
      <c r="E423" s="37"/>
      <c r="F423" s="37"/>
      <c r="G423" s="37"/>
      <c r="H423" s="37"/>
      <c r="I423" s="37"/>
      <c r="J423" s="37"/>
      <c r="K423" s="37"/>
      <c r="L423" s="37"/>
    </row>
    <row r="424" spans="1:12">
      <c r="A424" s="37"/>
      <c r="B424" s="37"/>
      <c r="C424" s="37"/>
      <c r="D424" s="37"/>
      <c r="E424" s="37"/>
      <c r="F424" s="37"/>
      <c r="G424" s="37"/>
      <c r="H424" s="37"/>
      <c r="I424" s="37"/>
      <c r="J424" s="37"/>
      <c r="K424" s="37"/>
      <c r="L424" s="37"/>
    </row>
    <row r="425" spans="1:12">
      <c r="A425" s="37"/>
      <c r="B425" s="37"/>
      <c r="C425" s="37"/>
      <c r="D425" s="37"/>
      <c r="E425" s="37"/>
      <c r="F425" s="37"/>
      <c r="G425" s="37"/>
      <c r="H425" s="37"/>
      <c r="I425" s="37"/>
      <c r="J425" s="37"/>
      <c r="K425" s="37"/>
      <c r="L425" s="37"/>
    </row>
    <row r="426" spans="1:12">
      <c r="A426" s="37"/>
      <c r="B426" s="37"/>
      <c r="C426" s="37"/>
      <c r="D426" s="37"/>
      <c r="E426" s="37"/>
      <c r="F426" s="37"/>
      <c r="G426" s="37"/>
      <c r="H426" s="37"/>
      <c r="I426" s="37"/>
      <c r="J426" s="37"/>
      <c r="K426" s="37"/>
      <c r="L426" s="37"/>
    </row>
    <row r="427" spans="1:12">
      <c r="A427" s="37"/>
      <c r="B427" s="37"/>
      <c r="C427" s="37"/>
      <c r="D427" s="37"/>
      <c r="E427" s="37"/>
      <c r="F427" s="37"/>
      <c r="G427" s="37"/>
      <c r="H427" s="37"/>
      <c r="I427" s="37"/>
      <c r="J427" s="37"/>
      <c r="K427" s="37"/>
      <c r="L427" s="37"/>
    </row>
    <row r="428" spans="1:12">
      <c r="A428" s="37"/>
      <c r="B428" s="37"/>
      <c r="C428" s="37"/>
      <c r="D428" s="37"/>
      <c r="E428" s="37"/>
      <c r="F428" s="37"/>
      <c r="G428" s="37"/>
      <c r="H428" s="37"/>
      <c r="I428" s="37"/>
      <c r="J428" s="37"/>
      <c r="K428" s="37"/>
      <c r="L428" s="37"/>
    </row>
    <row r="429" spans="1:12">
      <c r="A429" s="37"/>
      <c r="B429" s="37"/>
      <c r="C429" s="37"/>
      <c r="D429" s="37"/>
      <c r="E429" s="37"/>
      <c r="F429" s="37"/>
      <c r="G429" s="37"/>
      <c r="H429" s="37"/>
      <c r="I429" s="37"/>
      <c r="J429" s="37"/>
      <c r="K429" s="37"/>
      <c r="L429" s="37"/>
    </row>
    <row r="430" spans="1:12">
      <c r="A430" s="37"/>
      <c r="B430" s="37"/>
      <c r="C430" s="37"/>
      <c r="D430" s="37"/>
      <c r="E430" s="37"/>
      <c r="F430" s="37"/>
      <c r="G430" s="37"/>
      <c r="H430" s="37"/>
      <c r="I430" s="37"/>
      <c r="J430" s="37"/>
      <c r="K430" s="37"/>
      <c r="L430" s="37"/>
    </row>
    <row r="431" spans="1:12">
      <c r="A431" s="37"/>
      <c r="B431" s="37"/>
      <c r="C431" s="37"/>
      <c r="D431" s="37"/>
      <c r="E431" s="37"/>
      <c r="F431" s="37"/>
      <c r="G431" s="37"/>
      <c r="H431" s="37"/>
      <c r="I431" s="37"/>
      <c r="J431" s="37"/>
      <c r="K431" s="37"/>
      <c r="L431" s="37"/>
    </row>
    <row r="432" spans="1:12">
      <c r="A432" s="37"/>
      <c r="B432" s="37"/>
      <c r="C432" s="37"/>
      <c r="D432" s="37"/>
      <c r="E432" s="37"/>
      <c r="F432" s="37"/>
      <c r="G432" s="37"/>
      <c r="H432" s="37"/>
      <c r="I432" s="37"/>
      <c r="J432" s="37"/>
      <c r="K432" s="37"/>
      <c r="L432" s="37"/>
    </row>
    <row r="433" spans="1:12">
      <c r="A433" s="37"/>
      <c r="B433" s="37"/>
      <c r="C433" s="37"/>
      <c r="D433" s="37"/>
      <c r="E433" s="37"/>
      <c r="F433" s="37"/>
      <c r="G433" s="37"/>
      <c r="H433" s="37"/>
      <c r="I433" s="37"/>
      <c r="J433" s="37"/>
      <c r="K433" s="37"/>
      <c r="L433" s="37"/>
    </row>
    <row r="434" spans="1:12">
      <c r="A434" s="37"/>
      <c r="B434" s="37"/>
      <c r="C434" s="37"/>
      <c r="D434" s="37"/>
      <c r="E434" s="37"/>
      <c r="F434" s="37"/>
      <c r="G434" s="37"/>
      <c r="H434" s="37"/>
      <c r="I434" s="37"/>
      <c r="J434" s="37"/>
      <c r="K434" s="37"/>
      <c r="L434" s="37"/>
    </row>
    <row r="435" spans="1:12">
      <c r="A435" s="37"/>
      <c r="B435" s="37"/>
      <c r="C435" s="37"/>
      <c r="D435" s="37"/>
      <c r="E435" s="37"/>
      <c r="F435" s="37"/>
      <c r="G435" s="37"/>
      <c r="H435" s="37"/>
      <c r="I435" s="37"/>
      <c r="J435" s="37"/>
      <c r="K435" s="37"/>
      <c r="L435" s="37"/>
    </row>
    <row r="436" spans="1:12">
      <c r="A436" s="37"/>
      <c r="B436" s="37"/>
      <c r="C436" s="37"/>
      <c r="D436" s="37"/>
      <c r="E436" s="37"/>
      <c r="F436" s="37"/>
      <c r="G436" s="37"/>
      <c r="H436" s="37"/>
      <c r="I436" s="37"/>
      <c r="J436" s="37"/>
      <c r="K436" s="37"/>
      <c r="L436" s="37"/>
    </row>
    <row r="437" spans="1:12">
      <c r="A437" s="37"/>
      <c r="B437" s="37"/>
      <c r="C437" s="37"/>
      <c r="D437" s="37"/>
      <c r="E437" s="37"/>
      <c r="F437" s="37"/>
      <c r="G437" s="37"/>
      <c r="H437" s="37"/>
      <c r="I437" s="37"/>
      <c r="J437" s="37"/>
      <c r="K437" s="37"/>
      <c r="L437" s="37"/>
    </row>
    <row r="438" spans="1:12">
      <c r="A438" s="37"/>
      <c r="B438" s="37"/>
      <c r="C438" s="37"/>
      <c r="D438" s="37"/>
      <c r="E438" s="37"/>
      <c r="F438" s="37"/>
      <c r="G438" s="37"/>
      <c r="H438" s="37"/>
      <c r="I438" s="37"/>
      <c r="J438" s="37"/>
      <c r="K438" s="37"/>
      <c r="L438" s="37"/>
    </row>
    <row r="439" spans="1:12">
      <c r="A439" s="37"/>
      <c r="B439" s="37"/>
      <c r="C439" s="37"/>
      <c r="D439" s="37"/>
      <c r="E439" s="37"/>
      <c r="F439" s="37"/>
      <c r="G439" s="37"/>
      <c r="H439" s="37"/>
      <c r="I439" s="37"/>
      <c r="J439" s="37"/>
      <c r="K439" s="37"/>
      <c r="L439" s="37"/>
    </row>
    <row r="440" spans="1:12">
      <c r="A440" s="37"/>
      <c r="B440" s="37"/>
      <c r="C440" s="37"/>
      <c r="D440" s="37"/>
      <c r="E440" s="37"/>
      <c r="F440" s="37"/>
      <c r="G440" s="37"/>
      <c r="H440" s="37"/>
      <c r="I440" s="37"/>
      <c r="J440" s="37"/>
      <c r="K440" s="37"/>
      <c r="L440" s="37"/>
    </row>
    <row r="441" spans="1:12">
      <c r="A441" s="37"/>
      <c r="B441" s="37"/>
      <c r="C441" s="37"/>
      <c r="D441" s="37"/>
      <c r="E441" s="37"/>
      <c r="F441" s="37"/>
      <c r="G441" s="37"/>
      <c r="H441" s="37"/>
      <c r="I441" s="37"/>
      <c r="J441" s="37"/>
      <c r="K441" s="37"/>
      <c r="L441" s="37"/>
    </row>
    <row r="442" spans="1:12">
      <c r="A442" s="37"/>
      <c r="B442" s="37"/>
      <c r="C442" s="37"/>
      <c r="D442" s="37"/>
      <c r="E442" s="37"/>
      <c r="F442" s="37"/>
      <c r="G442" s="37"/>
      <c r="H442" s="37"/>
      <c r="I442" s="37"/>
      <c r="J442" s="37"/>
      <c r="K442" s="37"/>
      <c r="L442" s="37"/>
    </row>
    <row r="443" spans="1:12">
      <c r="A443" s="37"/>
      <c r="B443" s="37"/>
      <c r="C443" s="37"/>
      <c r="D443" s="37"/>
      <c r="E443" s="37"/>
      <c r="F443" s="37"/>
      <c r="G443" s="37"/>
      <c r="H443" s="37"/>
      <c r="I443" s="37"/>
      <c r="J443" s="37"/>
      <c r="K443" s="37"/>
      <c r="L443" s="37"/>
    </row>
    <row r="444" spans="1:12">
      <c r="A444" s="37"/>
      <c r="B444" s="37"/>
      <c r="C444" s="37"/>
      <c r="D444" s="37"/>
      <c r="E444" s="37"/>
      <c r="F444" s="37"/>
      <c r="G444" s="37"/>
      <c r="H444" s="37"/>
      <c r="I444" s="37"/>
      <c r="J444" s="37"/>
      <c r="K444" s="37"/>
      <c r="L444" s="37"/>
    </row>
    <row r="445" spans="1:12">
      <c r="A445" s="37"/>
      <c r="B445" s="37"/>
      <c r="C445" s="37"/>
      <c r="D445" s="37"/>
      <c r="E445" s="37"/>
      <c r="F445" s="37"/>
      <c r="G445" s="37"/>
      <c r="H445" s="37"/>
      <c r="I445" s="37"/>
      <c r="J445" s="37"/>
      <c r="K445" s="37"/>
      <c r="L445" s="37"/>
    </row>
    <row r="446" spans="1:12">
      <c r="A446" s="37"/>
      <c r="B446" s="37"/>
      <c r="C446" s="37"/>
      <c r="D446" s="37"/>
      <c r="E446" s="37"/>
      <c r="F446" s="37"/>
      <c r="G446" s="37"/>
      <c r="H446" s="37"/>
      <c r="I446" s="37"/>
      <c r="J446" s="37"/>
      <c r="K446" s="37"/>
      <c r="L446" s="37"/>
    </row>
    <row r="447" spans="1:12">
      <c r="A447" s="37"/>
      <c r="B447" s="37"/>
      <c r="C447" s="37"/>
      <c r="D447" s="37"/>
      <c r="E447" s="37"/>
      <c r="F447" s="37"/>
      <c r="G447" s="37"/>
      <c r="H447" s="37"/>
      <c r="I447" s="37"/>
      <c r="J447" s="37"/>
      <c r="K447" s="37"/>
      <c r="L447" s="37"/>
    </row>
    <row r="448" spans="1:12">
      <c r="A448" s="37"/>
      <c r="B448" s="37"/>
      <c r="C448" s="37"/>
      <c r="D448" s="37"/>
      <c r="E448" s="37"/>
      <c r="F448" s="37"/>
      <c r="G448" s="37"/>
      <c r="H448" s="37"/>
      <c r="I448" s="37"/>
      <c r="J448" s="37"/>
      <c r="K448" s="37"/>
      <c r="L448" s="37"/>
    </row>
    <row r="449" spans="1:12">
      <c r="A449" s="37"/>
      <c r="B449" s="37"/>
      <c r="C449" s="37"/>
      <c r="D449" s="37"/>
      <c r="E449" s="37"/>
      <c r="F449" s="37"/>
      <c r="G449" s="37"/>
      <c r="H449" s="37"/>
      <c r="I449" s="37"/>
      <c r="J449" s="37"/>
      <c r="K449" s="37"/>
      <c r="L449" s="37"/>
    </row>
    <row r="450" spans="1:12">
      <c r="A450" s="37"/>
      <c r="B450" s="37"/>
      <c r="C450" s="37"/>
      <c r="D450" s="37"/>
      <c r="E450" s="37"/>
      <c r="F450" s="37"/>
      <c r="G450" s="37"/>
      <c r="H450" s="37"/>
      <c r="I450" s="37"/>
      <c r="J450" s="37"/>
      <c r="K450" s="37"/>
      <c r="L450" s="37"/>
    </row>
    <row r="451" spans="1:12">
      <c r="A451" s="37"/>
      <c r="B451" s="37"/>
      <c r="C451" s="37"/>
      <c r="D451" s="37"/>
      <c r="E451" s="37"/>
      <c r="F451" s="37"/>
      <c r="G451" s="37"/>
      <c r="H451" s="37"/>
      <c r="I451" s="37"/>
      <c r="J451" s="37"/>
      <c r="K451" s="37"/>
      <c r="L451" s="37"/>
    </row>
    <row r="452" spans="1:12">
      <c r="A452" s="37"/>
      <c r="B452" s="37"/>
      <c r="C452" s="37"/>
      <c r="D452" s="37"/>
      <c r="E452" s="37"/>
      <c r="F452" s="37"/>
      <c r="G452" s="37"/>
      <c r="H452" s="37"/>
      <c r="I452" s="37"/>
      <c r="J452" s="37"/>
      <c r="K452" s="37"/>
      <c r="L452" s="37"/>
    </row>
    <row r="453" spans="1:12">
      <c r="A453" s="37"/>
      <c r="B453" s="37"/>
      <c r="C453" s="37"/>
      <c r="D453" s="37"/>
      <c r="E453" s="37"/>
      <c r="F453" s="37"/>
      <c r="G453" s="37"/>
      <c r="H453" s="37"/>
      <c r="I453" s="37"/>
      <c r="J453" s="37"/>
      <c r="K453" s="37"/>
      <c r="L453" s="37"/>
    </row>
    <row r="454" spans="1:12">
      <c r="A454" s="37"/>
      <c r="B454" s="37"/>
      <c r="C454" s="37"/>
      <c r="D454" s="37"/>
      <c r="E454" s="37"/>
      <c r="F454" s="37"/>
      <c r="G454" s="37"/>
      <c r="H454" s="37"/>
      <c r="I454" s="37"/>
      <c r="J454" s="37"/>
      <c r="K454" s="37"/>
      <c r="L454" s="37"/>
    </row>
    <row r="455" spans="1:12">
      <c r="A455" s="37"/>
      <c r="B455" s="37"/>
      <c r="C455" s="37"/>
      <c r="D455" s="37"/>
      <c r="E455" s="37"/>
      <c r="F455" s="37"/>
      <c r="G455" s="37"/>
      <c r="H455" s="37"/>
      <c r="I455" s="37"/>
      <c r="J455" s="37"/>
      <c r="K455" s="37"/>
      <c r="L455" s="37"/>
    </row>
    <row r="456" spans="1:12">
      <c r="A456" s="37"/>
      <c r="B456" s="37"/>
      <c r="C456" s="37"/>
      <c r="D456" s="37"/>
      <c r="E456" s="37"/>
      <c r="F456" s="37"/>
      <c r="G456" s="37"/>
      <c r="H456" s="37"/>
      <c r="I456" s="37"/>
      <c r="J456" s="37"/>
      <c r="K456" s="37"/>
      <c r="L456" s="37"/>
    </row>
    <row r="457" spans="1:12">
      <c r="A457" s="37"/>
      <c r="B457" s="37"/>
      <c r="C457" s="37"/>
      <c r="D457" s="37"/>
      <c r="E457" s="37"/>
      <c r="F457" s="37"/>
      <c r="G457" s="37"/>
      <c r="H457" s="37"/>
      <c r="I457" s="37"/>
      <c r="J457" s="37"/>
      <c r="K457" s="37"/>
      <c r="L457" s="37"/>
    </row>
    <row r="458" spans="1:12">
      <c r="A458" s="37"/>
      <c r="B458" s="37"/>
      <c r="C458" s="37"/>
      <c r="D458" s="37"/>
      <c r="E458" s="37"/>
      <c r="F458" s="37"/>
      <c r="G458" s="37"/>
      <c r="H458" s="37"/>
      <c r="I458" s="37"/>
      <c r="J458" s="37"/>
      <c r="K458" s="37"/>
      <c r="L458" s="37"/>
    </row>
    <row r="459" spans="1:12">
      <c r="A459" s="37"/>
      <c r="B459" s="37"/>
      <c r="C459" s="37"/>
      <c r="D459" s="37"/>
      <c r="E459" s="37"/>
      <c r="F459" s="37"/>
      <c r="G459" s="37"/>
      <c r="H459" s="37"/>
      <c r="I459" s="37"/>
      <c r="J459" s="37"/>
      <c r="K459" s="37"/>
      <c r="L459" s="37"/>
    </row>
    <row r="460" spans="1:12">
      <c r="A460" s="37"/>
      <c r="B460" s="37"/>
      <c r="C460" s="37"/>
      <c r="D460" s="37"/>
      <c r="E460" s="37"/>
      <c r="F460" s="37"/>
      <c r="G460" s="37"/>
      <c r="H460" s="37"/>
      <c r="I460" s="37"/>
      <c r="J460" s="37"/>
      <c r="K460" s="37"/>
      <c r="L460" s="37"/>
    </row>
    <row r="461" spans="1:12">
      <c r="A461" s="37"/>
      <c r="B461" s="37"/>
      <c r="C461" s="37"/>
      <c r="D461" s="37"/>
      <c r="E461" s="37"/>
      <c r="F461" s="37"/>
      <c r="G461" s="37"/>
      <c r="H461" s="37"/>
      <c r="I461" s="37"/>
      <c r="J461" s="37"/>
      <c r="K461" s="37"/>
      <c r="L461" s="37"/>
    </row>
    <row r="462" spans="1:12">
      <c r="A462" s="37"/>
      <c r="B462" s="37"/>
      <c r="C462" s="37"/>
      <c r="D462" s="37"/>
      <c r="E462" s="37"/>
      <c r="F462" s="37"/>
      <c r="G462" s="37"/>
      <c r="H462" s="37"/>
      <c r="I462" s="37"/>
      <c r="J462" s="37"/>
      <c r="K462" s="37"/>
      <c r="L462" s="37"/>
    </row>
    <row r="463" spans="1:12">
      <c r="A463" s="37"/>
      <c r="B463" s="37"/>
      <c r="C463" s="37"/>
      <c r="D463" s="37"/>
      <c r="E463" s="37"/>
      <c r="F463" s="37"/>
      <c r="G463" s="37"/>
      <c r="H463" s="37"/>
      <c r="I463" s="37"/>
      <c r="J463" s="37"/>
      <c r="K463" s="37"/>
      <c r="L463" s="37"/>
    </row>
    <row r="464" spans="1:12">
      <c r="A464" s="37"/>
      <c r="B464" s="37"/>
      <c r="C464" s="37"/>
      <c r="D464" s="37"/>
      <c r="E464" s="37"/>
      <c r="F464" s="37"/>
      <c r="G464" s="37"/>
      <c r="H464" s="37"/>
      <c r="I464" s="37"/>
      <c r="J464" s="37"/>
      <c r="K464" s="37"/>
      <c r="L464" s="37"/>
    </row>
    <row r="465" spans="1:12">
      <c r="A465" s="37"/>
      <c r="B465" s="37"/>
      <c r="C465" s="37"/>
      <c r="D465" s="37"/>
      <c r="E465" s="37"/>
      <c r="F465" s="37"/>
      <c r="G465" s="37"/>
      <c r="H465" s="37"/>
      <c r="I465" s="37"/>
      <c r="J465" s="37"/>
      <c r="K465" s="37"/>
      <c r="L465" s="37"/>
    </row>
    <row r="466" spans="1:12">
      <c r="A466" s="37"/>
      <c r="B466" s="37"/>
      <c r="C466" s="37"/>
      <c r="D466" s="37"/>
      <c r="E466" s="37"/>
      <c r="F466" s="37"/>
      <c r="G466" s="37"/>
      <c r="H466" s="37"/>
      <c r="I466" s="37"/>
      <c r="J466" s="37"/>
      <c r="K466" s="37"/>
      <c r="L466" s="37"/>
    </row>
    <row r="467" spans="1:12">
      <c r="A467" s="37"/>
      <c r="B467" s="37"/>
      <c r="C467" s="37"/>
      <c r="D467" s="37"/>
      <c r="E467" s="37"/>
      <c r="F467" s="37"/>
      <c r="G467" s="37"/>
      <c r="H467" s="37"/>
      <c r="I467" s="37"/>
      <c r="J467" s="37"/>
      <c r="K467" s="37"/>
      <c r="L467" s="37"/>
    </row>
    <row r="468" spans="1:12">
      <c r="A468" s="37"/>
      <c r="B468" s="37"/>
      <c r="C468" s="37"/>
      <c r="D468" s="37"/>
      <c r="E468" s="37"/>
      <c r="F468" s="37"/>
      <c r="G468" s="37"/>
      <c r="H468" s="37"/>
      <c r="I468" s="37"/>
      <c r="J468" s="37"/>
      <c r="K468" s="37"/>
      <c r="L468" s="37"/>
    </row>
    <row r="469" spans="1:12">
      <c r="A469" s="37"/>
      <c r="B469" s="37"/>
      <c r="C469" s="37"/>
      <c r="D469" s="37"/>
      <c r="E469" s="37"/>
      <c r="F469" s="37"/>
      <c r="G469" s="37"/>
      <c r="H469" s="37"/>
      <c r="I469" s="37"/>
      <c r="J469" s="37"/>
      <c r="K469" s="37"/>
      <c r="L469" s="37"/>
    </row>
    <row r="470" spans="1:12">
      <c r="A470" s="37"/>
      <c r="B470" s="37"/>
      <c r="C470" s="37"/>
      <c r="D470" s="37"/>
      <c r="E470" s="37"/>
      <c r="F470" s="37"/>
      <c r="G470" s="37"/>
      <c r="H470" s="37"/>
      <c r="I470" s="37"/>
      <c r="J470" s="37"/>
      <c r="K470" s="37"/>
      <c r="L470" s="37"/>
    </row>
    <row r="471" spans="1:12">
      <c r="A471" s="37"/>
      <c r="B471" s="37"/>
      <c r="C471" s="37"/>
      <c r="D471" s="37"/>
      <c r="E471" s="37"/>
      <c r="F471" s="37"/>
      <c r="G471" s="37"/>
      <c r="H471" s="37"/>
      <c r="I471" s="37"/>
      <c r="J471" s="37"/>
      <c r="K471" s="37"/>
      <c r="L471" s="37"/>
    </row>
    <row r="472" spans="1:12">
      <c r="A472" s="37"/>
      <c r="B472" s="37"/>
      <c r="C472" s="37"/>
      <c r="D472" s="37"/>
      <c r="E472" s="37"/>
      <c r="F472" s="37"/>
      <c r="G472" s="37"/>
      <c r="H472" s="37"/>
      <c r="I472" s="37"/>
      <c r="J472" s="37"/>
      <c r="K472" s="37"/>
      <c r="L472" s="37"/>
    </row>
    <row r="473" spans="1:12">
      <c r="A473" s="37"/>
      <c r="B473" s="37"/>
      <c r="C473" s="37"/>
      <c r="D473" s="37"/>
      <c r="E473" s="37"/>
      <c r="F473" s="37"/>
      <c r="G473" s="37"/>
      <c r="H473" s="37"/>
      <c r="I473" s="37"/>
      <c r="J473" s="37"/>
      <c r="K473" s="37"/>
      <c r="L473" s="37"/>
    </row>
    <row r="474" spans="1:12">
      <c r="A474" s="37"/>
      <c r="B474" s="37"/>
      <c r="C474" s="37"/>
      <c r="D474" s="37"/>
      <c r="E474" s="37"/>
      <c r="F474" s="37"/>
      <c r="G474" s="37"/>
      <c r="H474" s="37"/>
      <c r="I474" s="37"/>
      <c r="J474" s="37"/>
      <c r="K474" s="37"/>
      <c r="L474" s="37"/>
    </row>
    <row r="475" spans="1:12">
      <c r="A475" s="37"/>
      <c r="B475" s="37"/>
      <c r="C475" s="37"/>
      <c r="D475" s="37"/>
      <c r="E475" s="37"/>
      <c r="F475" s="37"/>
      <c r="G475" s="37"/>
      <c r="H475" s="37"/>
      <c r="I475" s="37"/>
      <c r="J475" s="37"/>
      <c r="K475" s="37"/>
      <c r="L475" s="37"/>
    </row>
    <row r="476" spans="1:12">
      <c r="A476" s="37"/>
      <c r="B476" s="37"/>
      <c r="C476" s="37"/>
      <c r="D476" s="37"/>
      <c r="E476" s="37"/>
      <c r="F476" s="37"/>
      <c r="G476" s="37"/>
      <c r="H476" s="37"/>
      <c r="I476" s="37"/>
      <c r="J476" s="37"/>
      <c r="K476" s="37"/>
      <c r="L476" s="37"/>
    </row>
    <row r="477" spans="1:12">
      <c r="A477" s="37"/>
      <c r="B477" s="37"/>
      <c r="C477" s="37"/>
      <c r="D477" s="37"/>
      <c r="E477" s="37"/>
      <c r="F477" s="37"/>
      <c r="G477" s="37"/>
      <c r="H477" s="37"/>
      <c r="I477" s="37"/>
      <c r="J477" s="37"/>
      <c r="K477" s="37"/>
      <c r="L477" s="37"/>
    </row>
    <row r="478" spans="1:12">
      <c r="A478" s="37"/>
      <c r="B478" s="37"/>
      <c r="C478" s="37"/>
      <c r="D478" s="37"/>
      <c r="E478" s="37"/>
      <c r="F478" s="37"/>
      <c r="G478" s="37"/>
      <c r="H478" s="37"/>
      <c r="I478" s="37"/>
      <c r="J478" s="37"/>
      <c r="K478" s="37"/>
      <c r="L478" s="37"/>
    </row>
    <row r="479" spans="1:12">
      <c r="A479" s="37"/>
      <c r="B479" s="37"/>
      <c r="C479" s="37"/>
      <c r="D479" s="37"/>
      <c r="E479" s="37"/>
      <c r="F479" s="37"/>
      <c r="G479" s="37"/>
      <c r="H479" s="37"/>
      <c r="I479" s="37"/>
      <c r="J479" s="37"/>
      <c r="K479" s="37"/>
      <c r="L479" s="37"/>
    </row>
    <row r="480" spans="1:12">
      <c r="A480" s="37"/>
      <c r="B480" s="37"/>
      <c r="C480" s="37"/>
      <c r="D480" s="37"/>
      <c r="E480" s="37"/>
      <c r="F480" s="37"/>
      <c r="G480" s="37"/>
      <c r="H480" s="37"/>
      <c r="I480" s="37"/>
      <c r="J480" s="37"/>
      <c r="K480" s="37"/>
      <c r="L480" s="37"/>
    </row>
    <row r="481" spans="1:12">
      <c r="A481" s="37"/>
      <c r="B481" s="37"/>
      <c r="C481" s="37"/>
      <c r="D481" s="37"/>
      <c r="E481" s="37"/>
      <c r="F481" s="37"/>
      <c r="G481" s="37"/>
      <c r="H481" s="37"/>
      <c r="I481" s="37"/>
      <c r="J481" s="37"/>
      <c r="K481" s="37"/>
      <c r="L481" s="37"/>
    </row>
    <row r="482" spans="1:12">
      <c r="A482" s="37"/>
      <c r="B482" s="37"/>
      <c r="C482" s="37"/>
      <c r="D482" s="37"/>
      <c r="E482" s="37"/>
      <c r="F482" s="37"/>
      <c r="G482" s="37"/>
      <c r="H482" s="37"/>
      <c r="I482" s="37"/>
      <c r="J482" s="37"/>
      <c r="K482" s="37"/>
      <c r="L482" s="37"/>
    </row>
    <row r="483" spans="1:12">
      <c r="A483" s="37"/>
      <c r="B483" s="37"/>
      <c r="C483" s="37"/>
      <c r="D483" s="37"/>
      <c r="E483" s="37"/>
      <c r="F483" s="37"/>
      <c r="G483" s="37"/>
      <c r="H483" s="37"/>
      <c r="I483" s="37"/>
      <c r="J483" s="37"/>
      <c r="K483" s="37"/>
      <c r="L483" s="37"/>
    </row>
    <row r="484" spans="1:12">
      <c r="A484" s="37"/>
      <c r="B484" s="37"/>
      <c r="C484" s="37"/>
      <c r="D484" s="37"/>
      <c r="E484" s="37"/>
      <c r="F484" s="37"/>
      <c r="G484" s="37"/>
      <c r="H484" s="37"/>
      <c r="I484" s="37"/>
      <c r="J484" s="37"/>
      <c r="K484" s="37"/>
      <c r="L484" s="37"/>
    </row>
    <row r="485" spans="1:12">
      <c r="A485" s="37"/>
      <c r="B485" s="37"/>
      <c r="C485" s="37"/>
      <c r="D485" s="37"/>
      <c r="E485" s="37"/>
      <c r="F485" s="37"/>
      <c r="G485" s="37"/>
      <c r="H485" s="37"/>
      <c r="I485" s="37"/>
      <c r="J485" s="37"/>
      <c r="K485" s="37"/>
      <c r="L485" s="37"/>
    </row>
    <row r="486" spans="1:12">
      <c r="A486" s="37"/>
      <c r="B486" s="37"/>
      <c r="C486" s="37"/>
      <c r="D486" s="37"/>
      <c r="E486" s="37"/>
      <c r="F486" s="37"/>
      <c r="G486" s="37"/>
      <c r="H486" s="37"/>
      <c r="I486" s="37"/>
      <c r="J486" s="37"/>
      <c r="K486" s="37"/>
      <c r="L486" s="37"/>
    </row>
    <row r="487" spans="1:12">
      <c r="A487" s="37"/>
      <c r="B487" s="37"/>
      <c r="C487" s="37"/>
      <c r="D487" s="37"/>
      <c r="E487" s="37"/>
      <c r="F487" s="37"/>
      <c r="G487" s="37"/>
      <c r="H487" s="37"/>
      <c r="I487" s="37"/>
      <c r="J487" s="37"/>
      <c r="K487" s="37"/>
      <c r="L487" s="37"/>
    </row>
    <row r="488" spans="1:12">
      <c r="A488" s="37"/>
      <c r="B488" s="37"/>
      <c r="C488" s="37"/>
      <c r="D488" s="37"/>
      <c r="E488" s="37"/>
      <c r="F488" s="37"/>
      <c r="G488" s="37"/>
      <c r="H488" s="37"/>
      <c r="I488" s="37"/>
      <c r="J488" s="37"/>
      <c r="K488" s="37"/>
      <c r="L488" s="37"/>
    </row>
    <row r="489" spans="1:12">
      <c r="A489" s="37"/>
      <c r="B489" s="37"/>
      <c r="C489" s="37"/>
      <c r="D489" s="37"/>
      <c r="E489" s="37"/>
      <c r="F489" s="37"/>
      <c r="G489" s="37"/>
      <c r="H489" s="37"/>
      <c r="I489" s="37"/>
      <c r="J489" s="37"/>
      <c r="K489" s="37"/>
      <c r="L489" s="37"/>
    </row>
    <row r="490" spans="1:12">
      <c r="A490" s="37"/>
      <c r="B490" s="37"/>
      <c r="C490" s="37"/>
      <c r="D490" s="37"/>
      <c r="E490" s="37"/>
      <c r="F490" s="37"/>
      <c r="G490" s="37"/>
      <c r="H490" s="37"/>
      <c r="I490" s="37"/>
      <c r="J490" s="37"/>
      <c r="K490" s="37"/>
      <c r="L490" s="37"/>
    </row>
    <row r="491" spans="1:12">
      <c r="A491" s="37"/>
      <c r="B491" s="37"/>
      <c r="C491" s="37"/>
      <c r="D491" s="37"/>
      <c r="E491" s="37"/>
      <c r="F491" s="37"/>
      <c r="G491" s="37"/>
      <c r="H491" s="37"/>
      <c r="I491" s="37"/>
      <c r="J491" s="37"/>
      <c r="K491" s="37"/>
      <c r="L491" s="37"/>
    </row>
    <row r="492" spans="1:12">
      <c r="A492" s="37"/>
      <c r="B492" s="37"/>
      <c r="C492" s="37"/>
      <c r="D492" s="37"/>
      <c r="E492" s="37"/>
      <c r="F492" s="37"/>
      <c r="G492" s="37"/>
      <c r="H492" s="37"/>
      <c r="I492" s="37"/>
      <c r="J492" s="37"/>
      <c r="K492" s="37"/>
      <c r="L492" s="37"/>
    </row>
    <row r="493" spans="1:12">
      <c r="A493" s="37"/>
      <c r="B493" s="37"/>
      <c r="C493" s="37"/>
      <c r="D493" s="37"/>
      <c r="E493" s="37"/>
      <c r="F493" s="37"/>
      <c r="G493" s="37"/>
      <c r="H493" s="37"/>
      <c r="I493" s="37"/>
      <c r="J493" s="37"/>
      <c r="K493" s="37"/>
      <c r="L493" s="37"/>
    </row>
    <row r="494" spans="1:12">
      <c r="A494" s="37"/>
      <c r="B494" s="37"/>
      <c r="C494" s="37"/>
      <c r="D494" s="37"/>
      <c r="E494" s="37"/>
      <c r="F494" s="37"/>
      <c r="G494" s="37"/>
      <c r="H494" s="37"/>
      <c r="I494" s="37"/>
      <c r="J494" s="37"/>
      <c r="K494" s="37"/>
      <c r="L494" s="37"/>
    </row>
    <row r="495" spans="1:12">
      <c r="A495" s="37"/>
      <c r="B495" s="37"/>
      <c r="C495" s="37"/>
      <c r="D495" s="37"/>
      <c r="E495" s="37"/>
      <c r="F495" s="37"/>
      <c r="G495" s="37"/>
      <c r="H495" s="37"/>
      <c r="I495" s="37"/>
      <c r="J495" s="37"/>
      <c r="K495" s="37"/>
      <c r="L495" s="37"/>
    </row>
    <row r="496" spans="1:12">
      <c r="A496" s="37"/>
      <c r="B496" s="37"/>
      <c r="C496" s="37"/>
      <c r="D496" s="37"/>
      <c r="E496" s="37"/>
      <c r="F496" s="37"/>
      <c r="G496" s="37"/>
      <c r="H496" s="37"/>
      <c r="I496" s="37"/>
      <c r="J496" s="37"/>
      <c r="K496" s="37"/>
      <c r="L496" s="37"/>
    </row>
    <row r="497" spans="1:12">
      <c r="A497" s="37"/>
      <c r="B497" s="37"/>
      <c r="C497" s="37"/>
      <c r="D497" s="37"/>
      <c r="E497" s="37"/>
      <c r="F497" s="37"/>
      <c r="G497" s="37"/>
      <c r="H497" s="37"/>
      <c r="I497" s="37"/>
      <c r="J497" s="37"/>
      <c r="K497" s="37"/>
      <c r="L497" s="37"/>
    </row>
    <row r="498" spans="1:12">
      <c r="A498" s="37"/>
      <c r="B498" s="37"/>
      <c r="C498" s="37"/>
      <c r="D498" s="37"/>
      <c r="E498" s="37"/>
      <c r="F498" s="37"/>
      <c r="G498" s="37"/>
      <c r="H498" s="37"/>
      <c r="I498" s="37"/>
      <c r="J498" s="37"/>
      <c r="K498" s="37"/>
      <c r="L498" s="37"/>
    </row>
    <row r="499" spans="1:12">
      <c r="A499"/>
      <c r="B499"/>
      <c r="C499"/>
      <c r="D499"/>
      <c r="E499"/>
      <c r="F499"/>
      <c r="G499"/>
      <c r="H499"/>
      <c r="I499"/>
      <c r="J499"/>
      <c r="K499"/>
      <c r="L499"/>
    </row>
    <row r="500" spans="1:12">
      <c r="A500"/>
      <c r="B500"/>
      <c r="C500"/>
      <c r="D500"/>
      <c r="E500"/>
      <c r="F500"/>
      <c r="G500"/>
      <c r="H500"/>
      <c r="I500"/>
      <c r="J500"/>
      <c r="K500"/>
      <c r="L500"/>
    </row>
    <row r="501" spans="1:12">
      <c r="A501"/>
      <c r="B501"/>
      <c r="C501"/>
      <c r="D501"/>
      <c r="E501"/>
      <c r="F501"/>
      <c r="G501"/>
      <c r="H501"/>
      <c r="I501"/>
      <c r="J501"/>
      <c r="K501"/>
      <c r="L501"/>
    </row>
    <row r="502" spans="1:12">
      <c r="A502"/>
      <c r="B502"/>
      <c r="C502"/>
      <c r="D502"/>
      <c r="E502"/>
      <c r="F502"/>
      <c r="G502"/>
      <c r="H502"/>
      <c r="I502"/>
      <c r="J502"/>
      <c r="K502"/>
      <c r="L502"/>
    </row>
    <row r="503" spans="1:12">
      <c r="A503"/>
      <c r="B503"/>
      <c r="C503"/>
      <c r="D503"/>
      <c r="E503"/>
      <c r="F503"/>
      <c r="G503"/>
      <c r="H503"/>
      <c r="I503"/>
      <c r="J503"/>
      <c r="K503"/>
      <c r="L503"/>
    </row>
    <row r="504" spans="1:12">
      <c r="A504"/>
      <c r="B504"/>
      <c r="C504"/>
      <c r="D504"/>
      <c r="E504"/>
      <c r="F504"/>
      <c r="G504"/>
      <c r="H504"/>
      <c r="I504"/>
      <c r="J504"/>
      <c r="K504"/>
      <c r="L504"/>
    </row>
    <row r="505" spans="1:12">
      <c r="A505"/>
      <c r="B505"/>
      <c r="C505"/>
      <c r="D505"/>
      <c r="E505"/>
      <c r="F505"/>
      <c r="G505"/>
      <c r="H505"/>
      <c r="I505"/>
      <c r="J505"/>
      <c r="K505"/>
      <c r="L505"/>
    </row>
    <row r="506" spans="1:12">
      <c r="A506"/>
      <c r="B506"/>
      <c r="C506"/>
      <c r="D506"/>
      <c r="E506"/>
      <c r="F506"/>
      <c r="G506"/>
      <c r="H506"/>
      <c r="I506"/>
      <c r="J506"/>
      <c r="K506"/>
      <c r="L506"/>
    </row>
    <row r="507" spans="1:12">
      <c r="A507"/>
      <c r="B507"/>
      <c r="C507"/>
      <c r="D507"/>
      <c r="E507"/>
      <c r="F507"/>
      <c r="G507"/>
      <c r="H507"/>
      <c r="I507"/>
      <c r="J507"/>
      <c r="K507"/>
      <c r="L507"/>
    </row>
    <row r="508" spans="1:12">
      <c r="A508"/>
      <c r="B508"/>
      <c r="C508"/>
      <c r="D508"/>
      <c r="E508"/>
      <c r="F508"/>
      <c r="G508"/>
      <c r="H508"/>
      <c r="I508"/>
      <c r="J508"/>
      <c r="K508"/>
      <c r="L508"/>
    </row>
    <row r="509" spans="1:12">
      <c r="A509"/>
      <c r="B509"/>
      <c r="C509"/>
      <c r="D509"/>
      <c r="E509"/>
      <c r="F509"/>
      <c r="G509"/>
      <c r="H509"/>
      <c r="I509"/>
      <c r="J509"/>
      <c r="K509"/>
      <c r="L509"/>
    </row>
    <row r="510" spans="1:12">
      <c r="A510"/>
      <c r="B510"/>
      <c r="C510"/>
      <c r="D510"/>
      <c r="E510"/>
      <c r="F510"/>
      <c r="G510"/>
      <c r="H510"/>
      <c r="I510"/>
      <c r="J510"/>
      <c r="K510"/>
      <c r="L510"/>
    </row>
    <row r="511" spans="1:12">
      <c r="A511"/>
      <c r="B511"/>
      <c r="C511"/>
      <c r="D511"/>
      <c r="E511"/>
      <c r="F511"/>
      <c r="G511"/>
      <c r="H511"/>
      <c r="I511"/>
      <c r="J511"/>
      <c r="K511"/>
      <c r="L511"/>
    </row>
    <row r="512" spans="1:12">
      <c r="A512"/>
      <c r="B512"/>
      <c r="C512"/>
      <c r="D512"/>
      <c r="E512"/>
      <c r="F512"/>
      <c r="G512"/>
      <c r="H512"/>
      <c r="I512"/>
      <c r="J512"/>
      <c r="K512"/>
      <c r="L512"/>
    </row>
    <row r="513" spans="1:12">
      <c r="A513"/>
      <c r="B513"/>
      <c r="C513"/>
      <c r="D513"/>
      <c r="E513"/>
      <c r="F513"/>
      <c r="G513"/>
      <c r="H513"/>
      <c r="I513"/>
      <c r="J513"/>
      <c r="K513"/>
      <c r="L513"/>
    </row>
    <row r="514" spans="1:12">
      <c r="A514"/>
      <c r="B514"/>
      <c r="C514"/>
      <c r="D514"/>
      <c r="E514"/>
      <c r="F514"/>
      <c r="G514"/>
      <c r="H514"/>
      <c r="I514"/>
      <c r="J514"/>
      <c r="K514"/>
      <c r="L514"/>
    </row>
    <row r="515" spans="1:12">
      <c r="A515"/>
      <c r="B515"/>
      <c r="C515"/>
      <c r="D515"/>
      <c r="E515"/>
      <c r="F515"/>
      <c r="G515"/>
      <c r="H515"/>
      <c r="I515"/>
      <c r="J515"/>
      <c r="K515"/>
      <c r="L515"/>
    </row>
    <row r="516" spans="1:12">
      <c r="A516"/>
      <c r="B516"/>
      <c r="C516"/>
      <c r="D516"/>
      <c r="E516"/>
      <c r="F516"/>
      <c r="G516"/>
      <c r="H516"/>
      <c r="I516"/>
      <c r="J516"/>
      <c r="K516"/>
      <c r="L516"/>
    </row>
    <row r="517" spans="1:12">
      <c r="A517"/>
      <c r="B517"/>
      <c r="C517"/>
      <c r="D517"/>
      <c r="E517"/>
      <c r="F517"/>
      <c r="G517"/>
      <c r="H517"/>
      <c r="I517"/>
      <c r="J517"/>
      <c r="K517"/>
      <c r="L517"/>
    </row>
    <row r="518" spans="1:12">
      <c r="A518"/>
      <c r="B518"/>
      <c r="C518"/>
      <c r="D518"/>
      <c r="E518"/>
      <c r="F518"/>
      <c r="G518"/>
      <c r="H518"/>
      <c r="I518"/>
      <c r="J518"/>
      <c r="K518"/>
      <c r="L518"/>
    </row>
    <row r="519" spans="1:12">
      <c r="A519"/>
      <c r="B519"/>
      <c r="C519"/>
      <c r="D519"/>
      <c r="E519"/>
      <c r="F519"/>
      <c r="G519"/>
      <c r="H519"/>
      <c r="I519"/>
      <c r="J519"/>
      <c r="K519"/>
      <c r="L519"/>
    </row>
    <row r="520" spans="1:12">
      <c r="A520"/>
      <c r="B520"/>
      <c r="C520"/>
      <c r="D520"/>
      <c r="E520"/>
      <c r="F520"/>
      <c r="G520"/>
      <c r="H520"/>
      <c r="I520"/>
      <c r="J520"/>
      <c r="K520"/>
      <c r="L520"/>
    </row>
    <row r="521" spans="1:12">
      <c r="A521"/>
      <c r="B521"/>
      <c r="C521"/>
      <c r="D521"/>
      <c r="E521"/>
      <c r="F521"/>
      <c r="G521"/>
      <c r="H521"/>
      <c r="I521"/>
      <c r="J521"/>
      <c r="K521"/>
      <c r="L521"/>
    </row>
    <row r="522" spans="1:12">
      <c r="A522"/>
      <c r="B522"/>
      <c r="C522"/>
      <c r="D522"/>
      <c r="E522"/>
      <c r="F522"/>
      <c r="G522"/>
      <c r="H522"/>
      <c r="I522"/>
      <c r="J522"/>
      <c r="K522"/>
      <c r="L522"/>
    </row>
    <row r="523" spans="1:12">
      <c r="A523"/>
      <c r="B523"/>
      <c r="C523"/>
      <c r="D523"/>
      <c r="E523"/>
      <c r="F523"/>
      <c r="G523"/>
      <c r="H523"/>
      <c r="I523"/>
      <c r="J523"/>
      <c r="K523"/>
      <c r="L523"/>
    </row>
    <row r="524" spans="1:12">
      <c r="A524"/>
      <c r="B524"/>
      <c r="C524"/>
      <c r="D524"/>
      <c r="E524"/>
      <c r="F524"/>
      <c r="G524"/>
      <c r="H524"/>
      <c r="I524"/>
      <c r="J524"/>
      <c r="K524"/>
      <c r="L524"/>
    </row>
    <row r="525" spans="1:12">
      <c r="A525"/>
      <c r="B525"/>
      <c r="C525"/>
      <c r="D525"/>
      <c r="E525"/>
      <c r="F525"/>
      <c r="G525"/>
      <c r="H525"/>
      <c r="I525"/>
      <c r="J525"/>
      <c r="K525"/>
      <c r="L525"/>
    </row>
    <row r="526" spans="1:12">
      <c r="A526"/>
      <c r="B526"/>
      <c r="C526"/>
      <c r="D526"/>
      <c r="E526"/>
      <c r="F526"/>
      <c r="G526"/>
      <c r="H526"/>
      <c r="I526"/>
      <c r="J526"/>
      <c r="K526"/>
      <c r="L526"/>
    </row>
    <row r="527" spans="1:12">
      <c r="A527"/>
      <c r="B527"/>
      <c r="C527"/>
      <c r="D527"/>
      <c r="E527"/>
      <c r="F527"/>
      <c r="G527"/>
      <c r="H527"/>
      <c r="I527"/>
      <c r="J527"/>
      <c r="K527"/>
      <c r="L527"/>
    </row>
    <row r="528" spans="1:12">
      <c r="A528"/>
      <c r="B528"/>
      <c r="C528"/>
      <c r="D528"/>
      <c r="E528"/>
      <c r="F528"/>
      <c r="G528"/>
      <c r="H528"/>
      <c r="I528"/>
      <c r="J528"/>
      <c r="K528"/>
      <c r="L528"/>
    </row>
    <row r="529" spans="1:12">
      <c r="A529"/>
      <c r="B529"/>
      <c r="C529"/>
      <c r="D529"/>
      <c r="E529"/>
      <c r="F529"/>
      <c r="G529"/>
      <c r="H529"/>
      <c r="I529"/>
      <c r="J529"/>
      <c r="K529"/>
      <c r="L529"/>
    </row>
    <row r="530" spans="1:12">
      <c r="A530"/>
      <c r="B530"/>
      <c r="C530"/>
      <c r="D530"/>
      <c r="E530"/>
      <c r="F530"/>
      <c r="G530"/>
      <c r="H530"/>
      <c r="I530"/>
      <c r="J530"/>
      <c r="K530"/>
      <c r="L530"/>
    </row>
    <row r="531" spans="1:12">
      <c r="A531"/>
      <c r="B531"/>
      <c r="C531"/>
      <c r="D531"/>
      <c r="E531"/>
      <c r="F531"/>
      <c r="G531"/>
      <c r="H531"/>
      <c r="I531"/>
      <c r="J531"/>
      <c r="K531"/>
      <c r="L531"/>
    </row>
    <row r="532" spans="1:12">
      <c r="A532"/>
      <c r="B532"/>
      <c r="C532"/>
      <c r="D532"/>
      <c r="E532"/>
      <c r="F532"/>
      <c r="G532"/>
      <c r="H532"/>
      <c r="I532"/>
      <c r="J532"/>
      <c r="K532"/>
      <c r="L532"/>
    </row>
    <row r="533" spans="1:12">
      <c r="A533"/>
      <c r="B533"/>
      <c r="C533"/>
      <c r="D533"/>
      <c r="E533"/>
      <c r="F533"/>
      <c r="G533"/>
      <c r="H533"/>
      <c r="I533"/>
      <c r="J533"/>
      <c r="K533"/>
      <c r="L533"/>
    </row>
    <row r="534" spans="1:12">
      <c r="A534"/>
      <c r="B534"/>
      <c r="C534"/>
      <c r="D534"/>
      <c r="E534"/>
      <c r="F534"/>
      <c r="G534"/>
      <c r="H534"/>
      <c r="I534"/>
      <c r="J534"/>
      <c r="K534"/>
      <c r="L534"/>
    </row>
    <row r="535" spans="1:12">
      <c r="A535"/>
      <c r="B535"/>
      <c r="C535"/>
      <c r="D535"/>
      <c r="E535"/>
      <c r="F535"/>
      <c r="G535"/>
      <c r="H535"/>
      <c r="I535"/>
      <c r="J535"/>
      <c r="K535"/>
      <c r="L535"/>
    </row>
    <row r="536" spans="1:12">
      <c r="A536"/>
      <c r="B536"/>
      <c r="C536"/>
      <c r="D536"/>
      <c r="E536"/>
      <c r="F536"/>
      <c r="G536"/>
      <c r="H536"/>
      <c r="I536"/>
      <c r="J536"/>
      <c r="K536"/>
      <c r="L536"/>
    </row>
    <row r="537" spans="1:12">
      <c r="A537"/>
      <c r="B537"/>
      <c r="C537"/>
      <c r="D537"/>
      <c r="E537"/>
      <c r="F537"/>
      <c r="G537"/>
      <c r="H537"/>
      <c r="I537"/>
      <c r="J537"/>
      <c r="K537"/>
      <c r="L537"/>
    </row>
    <row r="538" spans="1:12">
      <c r="A538"/>
      <c r="B538"/>
      <c r="C538"/>
      <c r="D538"/>
      <c r="E538"/>
      <c r="F538"/>
      <c r="G538"/>
      <c r="H538"/>
      <c r="I538"/>
      <c r="J538"/>
      <c r="K538"/>
      <c r="L538"/>
    </row>
    <row r="539" spans="1:12">
      <c r="A539"/>
      <c r="B539"/>
      <c r="C539"/>
      <c r="D539"/>
      <c r="E539"/>
      <c r="F539"/>
      <c r="G539"/>
      <c r="H539"/>
      <c r="I539"/>
      <c r="J539"/>
      <c r="K539"/>
      <c r="L539"/>
    </row>
    <row r="540" spans="1:12">
      <c r="A540"/>
      <c r="B540"/>
      <c r="C540"/>
      <c r="D540"/>
      <c r="E540"/>
      <c r="F540"/>
      <c r="G540"/>
      <c r="H540"/>
      <c r="I540"/>
      <c r="J540"/>
      <c r="K540"/>
      <c r="L540"/>
    </row>
    <row r="541" spans="1:12">
      <c r="A541"/>
      <c r="B541"/>
      <c r="C541"/>
      <c r="D541"/>
      <c r="E541"/>
      <c r="F541"/>
      <c r="G541"/>
      <c r="H541"/>
      <c r="I541"/>
      <c r="J541"/>
      <c r="K541"/>
      <c r="L541"/>
    </row>
    <row r="542" spans="1:12">
      <c r="A542"/>
      <c r="B542"/>
      <c r="C542"/>
      <c r="D542"/>
      <c r="E542"/>
      <c r="F542"/>
      <c r="G542"/>
      <c r="H542"/>
      <c r="I542"/>
      <c r="J542"/>
      <c r="K542"/>
      <c r="L542"/>
    </row>
    <row r="543" spans="1:12">
      <c r="A543"/>
      <c r="B543"/>
      <c r="C543"/>
      <c r="D543"/>
      <c r="E543"/>
      <c r="F543"/>
      <c r="G543"/>
      <c r="H543"/>
      <c r="I543"/>
      <c r="J543"/>
      <c r="K543"/>
      <c r="L543"/>
    </row>
    <row r="544" spans="1:12">
      <c r="A544"/>
      <c r="B544"/>
      <c r="C544"/>
      <c r="D544"/>
      <c r="E544"/>
      <c r="F544"/>
      <c r="G544"/>
      <c r="H544"/>
      <c r="I544"/>
      <c r="J544"/>
      <c r="K544"/>
      <c r="L544"/>
    </row>
    <row r="545" spans="1:12">
      <c r="A545"/>
      <c r="B545"/>
      <c r="C545"/>
      <c r="D545"/>
      <c r="E545"/>
      <c r="F545"/>
      <c r="G545"/>
      <c r="H545"/>
      <c r="I545"/>
      <c r="J545"/>
      <c r="K545"/>
      <c r="L545"/>
    </row>
    <row r="546" spans="1:12">
      <c r="A546"/>
      <c r="B546"/>
      <c r="C546"/>
      <c r="D546"/>
      <c r="E546"/>
      <c r="F546"/>
      <c r="G546"/>
      <c r="H546"/>
      <c r="I546"/>
      <c r="J546"/>
      <c r="K546"/>
      <c r="L546"/>
    </row>
    <row r="547" spans="1:12">
      <c r="A547"/>
      <c r="B547"/>
      <c r="C547"/>
      <c r="D547"/>
      <c r="E547"/>
      <c r="F547"/>
      <c r="G547"/>
      <c r="H547"/>
      <c r="I547"/>
      <c r="J547"/>
      <c r="K547"/>
      <c r="L547"/>
    </row>
    <row r="548" spans="1:12">
      <c r="A548"/>
      <c r="B548"/>
      <c r="C548"/>
      <c r="D548"/>
      <c r="E548"/>
      <c r="F548"/>
      <c r="G548"/>
      <c r="H548"/>
      <c r="I548"/>
      <c r="J548"/>
      <c r="K548"/>
      <c r="L548"/>
    </row>
    <row r="549" spans="1:12">
      <c r="A549"/>
      <c r="B549"/>
      <c r="C549"/>
      <c r="D549"/>
      <c r="E549"/>
      <c r="F549"/>
      <c r="G549"/>
      <c r="H549"/>
      <c r="I549"/>
      <c r="J549"/>
      <c r="K549"/>
      <c r="L549"/>
    </row>
    <row r="550" spans="1:12">
      <c r="A550"/>
      <c r="B550"/>
      <c r="C550"/>
      <c r="D550"/>
      <c r="E550"/>
      <c r="F550"/>
      <c r="G550"/>
      <c r="H550"/>
      <c r="I550"/>
      <c r="J550"/>
      <c r="K550"/>
      <c r="L550"/>
    </row>
    <row r="551" spans="1:12">
      <c r="A551"/>
      <c r="B551"/>
      <c r="C551"/>
      <c r="D551"/>
      <c r="E551"/>
      <c r="F551"/>
      <c r="G551"/>
      <c r="H551"/>
      <c r="I551"/>
      <c r="J551"/>
      <c r="K551"/>
      <c r="L551"/>
    </row>
    <row r="552" spans="1:12">
      <c r="A552"/>
      <c r="B552"/>
      <c r="C552"/>
      <c r="D552"/>
      <c r="E552"/>
      <c r="F552"/>
      <c r="G552"/>
      <c r="H552"/>
      <c r="I552"/>
      <c r="J552"/>
      <c r="K552"/>
      <c r="L552"/>
    </row>
    <row r="553" spans="1:12">
      <c r="A553"/>
      <c r="B553"/>
      <c r="C553"/>
      <c r="D553"/>
      <c r="E553"/>
      <c r="F553"/>
      <c r="G553"/>
      <c r="H553"/>
      <c r="I553"/>
      <c r="J553"/>
      <c r="K553"/>
      <c r="L553"/>
    </row>
    <row r="554" spans="1:12">
      <c r="A554"/>
      <c r="B554"/>
      <c r="C554"/>
      <c r="D554"/>
      <c r="E554"/>
      <c r="F554"/>
      <c r="G554"/>
      <c r="H554"/>
      <c r="I554"/>
      <c r="J554"/>
      <c r="K554"/>
      <c r="L554"/>
    </row>
    <row r="555" spans="1:12">
      <c r="A555"/>
      <c r="B555"/>
      <c r="C555"/>
      <c r="D555"/>
      <c r="E555"/>
      <c r="F555"/>
      <c r="G555"/>
      <c r="H555"/>
      <c r="I555"/>
      <c r="J555"/>
      <c r="K555"/>
      <c r="L555"/>
    </row>
    <row r="556" spans="1:12">
      <c r="A556"/>
      <c r="B556"/>
      <c r="C556"/>
      <c r="D556"/>
      <c r="E556"/>
      <c r="F556"/>
      <c r="G556"/>
      <c r="H556"/>
      <c r="I556"/>
      <c r="J556"/>
      <c r="K556"/>
      <c r="L556"/>
    </row>
    <row r="557" spans="1:12">
      <c r="A557"/>
      <c r="B557"/>
      <c r="C557"/>
      <c r="D557"/>
      <c r="E557"/>
      <c r="F557"/>
      <c r="G557"/>
      <c r="H557"/>
      <c r="I557"/>
      <c r="J557"/>
      <c r="K557"/>
      <c r="L557"/>
    </row>
    <row r="558" spans="1:12">
      <c r="A558"/>
      <c r="B558"/>
      <c r="C558"/>
      <c r="D558"/>
      <c r="E558"/>
      <c r="F558"/>
      <c r="G558"/>
      <c r="H558"/>
      <c r="I558"/>
      <c r="J558"/>
      <c r="K558"/>
      <c r="L558"/>
    </row>
    <row r="559" spans="1:12">
      <c r="A559"/>
      <c r="B559"/>
      <c r="C559"/>
      <c r="D559"/>
      <c r="E559"/>
      <c r="F559"/>
      <c r="G559"/>
      <c r="H559"/>
      <c r="I559"/>
      <c r="J559"/>
      <c r="K559"/>
      <c r="L559"/>
    </row>
    <row r="560" spans="1:12">
      <c r="A560"/>
      <c r="B560"/>
      <c r="C560"/>
      <c r="D560"/>
      <c r="E560"/>
      <c r="F560"/>
      <c r="G560"/>
      <c r="H560"/>
      <c r="I560"/>
      <c r="J560"/>
      <c r="K560"/>
      <c r="L560"/>
    </row>
    <row r="561" spans="1:12">
      <c r="A561"/>
      <c r="B561"/>
      <c r="C561"/>
      <c r="D561"/>
      <c r="E561"/>
      <c r="F561"/>
      <c r="G561"/>
      <c r="H561"/>
      <c r="I561"/>
      <c r="J561"/>
      <c r="K561"/>
      <c r="L561"/>
    </row>
    <row r="562" spans="1:12">
      <c r="A562"/>
      <c r="B562"/>
      <c r="C562"/>
      <c r="D562"/>
      <c r="E562"/>
      <c r="F562"/>
      <c r="G562"/>
      <c r="H562"/>
      <c r="I562"/>
      <c r="J562"/>
      <c r="K562"/>
      <c r="L562"/>
    </row>
    <row r="563" spans="1:12">
      <c r="A563"/>
      <c r="B563"/>
      <c r="C563"/>
      <c r="D563"/>
      <c r="E563"/>
      <c r="F563"/>
      <c r="G563"/>
      <c r="H563"/>
      <c r="I563"/>
      <c r="J563"/>
      <c r="K563"/>
      <c r="L563"/>
    </row>
    <row r="564" spans="1:12">
      <c r="A564"/>
      <c r="B564"/>
      <c r="C564"/>
      <c r="D564"/>
      <c r="E564"/>
      <c r="F564"/>
      <c r="G564"/>
      <c r="H564"/>
      <c r="I564"/>
      <c r="J564"/>
      <c r="K564"/>
      <c r="L564"/>
    </row>
    <row r="565" spans="1:12">
      <c r="A565"/>
      <c r="B565"/>
      <c r="C565"/>
      <c r="D565"/>
      <c r="E565"/>
      <c r="F565"/>
      <c r="G565"/>
      <c r="H565"/>
      <c r="I565"/>
      <c r="J565"/>
      <c r="K565"/>
      <c r="L565"/>
    </row>
    <row r="566" spans="1:12">
      <c r="A566"/>
      <c r="B566"/>
      <c r="C566"/>
      <c r="D566"/>
      <c r="E566"/>
      <c r="F566"/>
      <c r="G566"/>
      <c r="H566"/>
      <c r="I566"/>
      <c r="J566"/>
      <c r="K566"/>
      <c r="L566"/>
    </row>
    <row r="567" spans="1:12">
      <c r="A567"/>
      <c r="B567"/>
      <c r="C567"/>
      <c r="D567"/>
      <c r="E567"/>
      <c r="F567"/>
      <c r="G567"/>
      <c r="H567"/>
      <c r="I567"/>
      <c r="J567"/>
      <c r="K567"/>
      <c r="L567"/>
    </row>
    <row r="568" spans="1:12">
      <c r="A568"/>
      <c r="B568"/>
      <c r="C568"/>
      <c r="D568"/>
      <c r="E568"/>
      <c r="F568"/>
      <c r="G568"/>
      <c r="H568"/>
      <c r="I568"/>
      <c r="J568"/>
      <c r="K568"/>
      <c r="L568"/>
    </row>
    <row r="569" spans="1:12">
      <c r="A569"/>
      <c r="B569"/>
      <c r="C569"/>
      <c r="D569"/>
      <c r="E569"/>
      <c r="F569"/>
      <c r="G569"/>
      <c r="H569"/>
      <c r="I569"/>
      <c r="J569"/>
      <c r="K569"/>
      <c r="L569"/>
    </row>
    <row r="570" spans="1:12">
      <c r="A570"/>
      <c r="B570"/>
      <c r="C570"/>
      <c r="D570"/>
      <c r="E570"/>
      <c r="F570"/>
      <c r="G570"/>
      <c r="H570"/>
      <c r="I570"/>
      <c r="J570"/>
      <c r="K570"/>
      <c r="L570"/>
    </row>
    <row r="571" spans="1:12">
      <c r="A571"/>
      <c r="B571"/>
      <c r="C571"/>
      <c r="D571"/>
      <c r="E571"/>
      <c r="F571"/>
      <c r="G571"/>
      <c r="H571"/>
      <c r="I571"/>
      <c r="J571"/>
      <c r="K571"/>
      <c r="L571"/>
    </row>
    <row r="572" spans="1:12">
      <c r="A572"/>
      <c r="B572"/>
      <c r="C572"/>
      <c r="D572"/>
      <c r="E572"/>
      <c r="F572"/>
      <c r="G572"/>
      <c r="H572"/>
      <c r="I572"/>
      <c r="J572"/>
      <c r="K572"/>
      <c r="L572"/>
    </row>
    <row r="573" spans="1:12">
      <c r="A573"/>
      <c r="B573"/>
      <c r="C573"/>
      <c r="D573"/>
      <c r="E573"/>
      <c r="F573"/>
      <c r="G573"/>
      <c r="H573"/>
      <c r="I573"/>
      <c r="J573"/>
      <c r="K573"/>
      <c r="L573"/>
    </row>
    <row r="574" spans="1:12">
      <c r="A574"/>
      <c r="B574"/>
      <c r="C574"/>
      <c r="D574"/>
      <c r="E574"/>
      <c r="F574"/>
      <c r="G574"/>
      <c r="H574"/>
      <c r="I574"/>
      <c r="J574"/>
      <c r="K574"/>
      <c r="L574"/>
    </row>
    <row r="575" spans="1:12">
      <c r="A575"/>
      <c r="B575"/>
      <c r="C575"/>
      <c r="D575"/>
      <c r="E575"/>
      <c r="F575"/>
      <c r="G575"/>
      <c r="H575"/>
      <c r="I575"/>
      <c r="J575"/>
      <c r="K575"/>
      <c r="L575"/>
    </row>
    <row r="576" spans="1:12">
      <c r="A576"/>
      <c r="B576"/>
      <c r="C576"/>
      <c r="D576"/>
      <c r="E576"/>
      <c r="F576"/>
      <c r="G576"/>
      <c r="H576"/>
      <c r="I576"/>
      <c r="J576"/>
      <c r="K576"/>
      <c r="L576"/>
    </row>
    <row r="577" spans="1:12">
      <c r="A577"/>
      <c r="B577"/>
      <c r="C577"/>
      <c r="D577"/>
      <c r="E577"/>
      <c r="F577"/>
      <c r="G577"/>
      <c r="H577"/>
      <c r="I577"/>
      <c r="J577"/>
      <c r="K577"/>
      <c r="L577"/>
    </row>
    <row r="578" spans="1:12">
      <c r="A578"/>
      <c r="B578"/>
      <c r="C578"/>
      <c r="D578"/>
      <c r="E578"/>
      <c r="F578"/>
      <c r="G578"/>
      <c r="H578"/>
      <c r="I578"/>
      <c r="J578"/>
      <c r="K578"/>
      <c r="L578"/>
    </row>
    <row r="579" spans="1:12">
      <c r="A579"/>
      <c r="B579"/>
      <c r="C579"/>
      <c r="D579"/>
      <c r="E579"/>
      <c r="F579"/>
      <c r="G579"/>
      <c r="H579"/>
      <c r="I579"/>
      <c r="J579"/>
      <c r="K579"/>
      <c r="L579"/>
    </row>
    <row r="580" spans="1:12">
      <c r="A580"/>
      <c r="B580"/>
      <c r="C580"/>
      <c r="D580"/>
      <c r="E580"/>
      <c r="F580"/>
      <c r="G580"/>
      <c r="H580"/>
      <c r="I580"/>
      <c r="J580"/>
      <c r="K580"/>
      <c r="L580"/>
    </row>
    <row r="581" spans="1:12">
      <c r="A581"/>
      <c r="B581"/>
      <c r="C581"/>
      <c r="D581"/>
      <c r="E581"/>
      <c r="F581"/>
      <c r="G581"/>
      <c r="H581"/>
      <c r="I581"/>
      <c r="J581"/>
      <c r="K581"/>
      <c r="L581"/>
    </row>
    <row r="582" spans="1:12">
      <c r="A582"/>
      <c r="B582"/>
      <c r="C582"/>
      <c r="D582"/>
      <c r="E582"/>
      <c r="F582"/>
      <c r="G582"/>
      <c r="H582"/>
      <c r="I582"/>
      <c r="J582"/>
      <c r="K582"/>
      <c r="L582"/>
    </row>
    <row r="583" spans="1:12">
      <c r="A583"/>
      <c r="B583"/>
      <c r="C583"/>
      <c r="D583"/>
      <c r="E583"/>
      <c r="F583"/>
      <c r="G583"/>
      <c r="H583"/>
      <c r="I583"/>
      <c r="J583"/>
      <c r="K583"/>
      <c r="L583"/>
    </row>
    <row r="584" spans="1:12">
      <c r="A584"/>
      <c r="B584"/>
      <c r="C584"/>
      <c r="D584"/>
      <c r="E584"/>
      <c r="F584"/>
      <c r="G584"/>
      <c r="H584"/>
      <c r="I584"/>
      <c r="J584"/>
      <c r="K584"/>
      <c r="L584"/>
    </row>
    <row r="585" spans="1:12">
      <c r="A585"/>
      <c r="B585"/>
      <c r="C585"/>
      <c r="D585"/>
      <c r="E585"/>
      <c r="F585"/>
      <c r="G585"/>
      <c r="H585"/>
      <c r="I585"/>
      <c r="J585"/>
      <c r="K585"/>
      <c r="L585"/>
    </row>
    <row r="586" spans="1:12">
      <c r="A586"/>
      <c r="B586"/>
      <c r="C586"/>
      <c r="D586"/>
      <c r="E586"/>
      <c r="F586"/>
      <c r="G586"/>
      <c r="H586"/>
      <c r="I586"/>
      <c r="J586"/>
      <c r="K586"/>
      <c r="L586"/>
    </row>
    <row r="587" spans="1:12">
      <c r="A587"/>
      <c r="B587"/>
      <c r="C587"/>
      <c r="D587"/>
      <c r="E587"/>
      <c r="F587"/>
      <c r="G587"/>
      <c r="H587"/>
      <c r="I587"/>
      <c r="J587"/>
      <c r="K587"/>
      <c r="L587"/>
    </row>
    <row r="588" spans="1:12">
      <c r="A588"/>
      <c r="B588"/>
      <c r="C588"/>
      <c r="D588"/>
      <c r="E588"/>
      <c r="F588"/>
      <c r="G588"/>
      <c r="H588"/>
      <c r="I588"/>
      <c r="J588"/>
      <c r="K588"/>
      <c r="L588"/>
    </row>
    <row r="589" spans="1:12">
      <c r="A589"/>
      <c r="B589"/>
      <c r="C589"/>
      <c r="D589"/>
      <c r="E589"/>
      <c r="F589"/>
      <c r="G589"/>
      <c r="H589"/>
      <c r="I589"/>
      <c r="J589"/>
      <c r="K589"/>
      <c r="L589"/>
    </row>
    <row r="590" spans="1:12">
      <c r="A590"/>
      <c r="B590"/>
      <c r="C590"/>
      <c r="D590"/>
      <c r="E590"/>
      <c r="F590"/>
      <c r="G590"/>
      <c r="H590"/>
      <c r="I590"/>
      <c r="J590"/>
      <c r="K590"/>
      <c r="L590"/>
    </row>
    <row r="591" spans="1:12">
      <c r="A591"/>
      <c r="B591"/>
      <c r="C591"/>
      <c r="D591"/>
      <c r="E591"/>
      <c r="F591"/>
      <c r="G591"/>
      <c r="H591"/>
      <c r="I591"/>
      <c r="J591"/>
      <c r="K591"/>
      <c r="L591"/>
    </row>
    <row r="592" spans="1:12">
      <c r="A592"/>
      <c r="B592"/>
      <c r="C592"/>
      <c r="D592"/>
      <c r="E592"/>
      <c r="F592"/>
      <c r="G592"/>
      <c r="H592"/>
      <c r="I592"/>
      <c r="J592"/>
      <c r="K592"/>
      <c r="L592"/>
    </row>
    <row r="593" spans="1:12">
      <c r="A593"/>
      <c r="B593"/>
      <c r="C593"/>
      <c r="D593"/>
      <c r="E593"/>
      <c r="F593"/>
      <c r="G593"/>
      <c r="H593"/>
      <c r="I593"/>
      <c r="J593"/>
      <c r="K593"/>
      <c r="L593"/>
    </row>
    <row r="594" spans="1:12">
      <c r="A594"/>
      <c r="B594"/>
      <c r="C594"/>
      <c r="D594"/>
      <c r="E594"/>
      <c r="F594"/>
      <c r="G594"/>
      <c r="H594"/>
      <c r="I594"/>
      <c r="J594"/>
      <c r="K594"/>
      <c r="L594"/>
    </row>
    <row r="595" spans="1:12">
      <c r="A595"/>
      <c r="B595"/>
      <c r="C595"/>
      <c r="D595"/>
      <c r="E595"/>
      <c r="F595"/>
      <c r="G595"/>
      <c r="H595"/>
      <c r="I595"/>
      <c r="J595"/>
      <c r="K595"/>
      <c r="L595"/>
    </row>
    <row r="596" spans="1:12">
      <c r="A596"/>
      <c r="B596"/>
      <c r="C596"/>
      <c r="D596"/>
      <c r="E596"/>
      <c r="F596"/>
      <c r="G596"/>
      <c r="H596"/>
      <c r="I596"/>
      <c r="J596"/>
      <c r="K596"/>
      <c r="L596"/>
    </row>
    <row r="597" spans="1:12">
      <c r="A597"/>
      <c r="B597"/>
      <c r="C597"/>
      <c r="D597"/>
      <c r="E597"/>
      <c r="F597"/>
      <c r="G597"/>
      <c r="H597"/>
      <c r="I597"/>
      <c r="J597"/>
      <c r="K597"/>
      <c r="L597"/>
    </row>
    <row r="598" spans="1:12">
      <c r="A598"/>
      <c r="B598"/>
      <c r="C598"/>
      <c r="D598"/>
      <c r="E598"/>
      <c r="F598"/>
      <c r="G598"/>
      <c r="H598"/>
      <c r="I598"/>
      <c r="J598"/>
      <c r="K598"/>
      <c r="L598"/>
    </row>
    <row r="599" spans="1:12">
      <c r="A599"/>
      <c r="B599"/>
      <c r="C599"/>
      <c r="D599"/>
      <c r="E599"/>
      <c r="F599"/>
      <c r="G599"/>
      <c r="H599"/>
      <c r="I599"/>
      <c r="J599"/>
      <c r="K599"/>
      <c r="L599"/>
    </row>
    <row r="600" spans="1:12">
      <c r="A600"/>
      <c r="B600"/>
      <c r="C600"/>
      <c r="D600"/>
      <c r="E600"/>
      <c r="F600"/>
      <c r="G600"/>
      <c r="H600"/>
      <c r="I600"/>
      <c r="J600"/>
      <c r="K600"/>
      <c r="L600"/>
    </row>
    <row r="601" spans="1:12">
      <c r="A601"/>
      <c r="B601"/>
      <c r="C601"/>
      <c r="D601"/>
      <c r="E601"/>
      <c r="F601"/>
      <c r="G601"/>
      <c r="H601"/>
      <c r="I601"/>
      <c r="J601"/>
      <c r="K601"/>
      <c r="L601"/>
    </row>
    <row r="602" spans="1:12">
      <c r="A602"/>
      <c r="B602"/>
      <c r="C602"/>
      <c r="D602"/>
      <c r="E602"/>
      <c r="F602"/>
      <c r="G602"/>
      <c r="H602"/>
      <c r="I602"/>
      <c r="J602"/>
      <c r="K602"/>
      <c r="L602"/>
    </row>
    <row r="603" spans="1:12">
      <c r="A603"/>
      <c r="B603"/>
      <c r="C603"/>
      <c r="D603"/>
      <c r="E603"/>
      <c r="F603"/>
      <c r="G603"/>
      <c r="H603"/>
      <c r="I603"/>
      <c r="J603"/>
      <c r="K603"/>
      <c r="L603"/>
    </row>
    <row r="604" spans="1:12">
      <c r="A604"/>
      <c r="B604"/>
      <c r="C604"/>
      <c r="D604"/>
      <c r="E604"/>
      <c r="F604"/>
      <c r="G604"/>
      <c r="H604"/>
      <c r="I604"/>
      <c r="J604"/>
      <c r="K604"/>
      <c r="L604"/>
    </row>
    <row r="605" spans="1:12">
      <c r="A605"/>
      <c r="B605"/>
      <c r="C605"/>
      <c r="D605"/>
      <c r="E605"/>
      <c r="F605"/>
      <c r="G605"/>
      <c r="H605"/>
      <c r="I605"/>
      <c r="J605"/>
      <c r="K605"/>
      <c r="L605"/>
    </row>
    <row r="606" spans="1:12">
      <c r="A606"/>
      <c r="B606"/>
      <c r="C606"/>
      <c r="D606"/>
      <c r="E606"/>
      <c r="F606"/>
      <c r="G606"/>
      <c r="H606"/>
      <c r="I606"/>
      <c r="J606"/>
      <c r="K606"/>
      <c r="L606"/>
    </row>
    <row r="607" spans="1:12">
      <c r="A607"/>
      <c r="B607"/>
      <c r="C607"/>
      <c r="D607"/>
      <c r="E607"/>
      <c r="F607"/>
      <c r="G607"/>
      <c r="H607"/>
      <c r="I607"/>
      <c r="J607"/>
      <c r="K607"/>
      <c r="L607"/>
    </row>
    <row r="608" spans="1:12">
      <c r="A608"/>
      <c r="B608"/>
      <c r="C608"/>
      <c r="D608"/>
      <c r="E608"/>
      <c r="F608"/>
      <c r="G608"/>
      <c r="H608"/>
      <c r="I608"/>
      <c r="J608"/>
      <c r="K608"/>
      <c r="L608"/>
    </row>
    <row r="609" spans="1:12">
      <c r="A609"/>
      <c r="B609"/>
      <c r="C609"/>
      <c r="D609"/>
      <c r="E609"/>
      <c r="F609"/>
      <c r="G609"/>
      <c r="H609"/>
      <c r="I609"/>
      <c r="J609"/>
      <c r="K609"/>
      <c r="L609"/>
    </row>
    <row r="610" spans="1:12">
      <c r="A610"/>
      <c r="B610"/>
      <c r="C610"/>
      <c r="D610"/>
      <c r="E610"/>
      <c r="F610"/>
      <c r="G610"/>
      <c r="H610"/>
      <c r="I610"/>
      <c r="J610"/>
      <c r="K610"/>
      <c r="L610"/>
    </row>
    <row r="611" spans="1:12">
      <c r="A611"/>
      <c r="B611"/>
      <c r="C611"/>
      <c r="D611"/>
      <c r="E611"/>
      <c r="F611"/>
      <c r="G611"/>
      <c r="H611"/>
      <c r="I611"/>
      <c r="J611"/>
      <c r="K611"/>
      <c r="L611"/>
    </row>
    <row r="612" spans="1:12">
      <c r="A612"/>
      <c r="B612"/>
      <c r="C612"/>
      <c r="D612"/>
      <c r="E612"/>
      <c r="F612"/>
      <c r="G612"/>
      <c r="H612"/>
      <c r="I612"/>
      <c r="J612"/>
      <c r="K612"/>
      <c r="L612"/>
    </row>
    <row r="613" spans="1:12">
      <c r="A613"/>
      <c r="B613"/>
      <c r="C613"/>
      <c r="D613"/>
      <c r="E613"/>
      <c r="F613"/>
      <c r="G613"/>
      <c r="H613"/>
      <c r="I613"/>
      <c r="J613"/>
      <c r="K613"/>
      <c r="L613"/>
    </row>
    <row r="614" spans="1:12">
      <c r="A614"/>
      <c r="B614"/>
      <c r="C614"/>
      <c r="D614"/>
      <c r="E614"/>
      <c r="F614"/>
      <c r="G614"/>
      <c r="H614"/>
      <c r="I614"/>
      <c r="J614"/>
      <c r="K614"/>
      <c r="L614"/>
    </row>
    <row r="615" spans="1:12">
      <c r="A615"/>
      <c r="B615"/>
      <c r="C615"/>
      <c r="D615"/>
      <c r="E615"/>
      <c r="F615"/>
      <c r="G615"/>
      <c r="H615"/>
      <c r="I615"/>
      <c r="J615"/>
      <c r="K615"/>
      <c r="L615"/>
    </row>
    <row r="616" spans="1:12">
      <c r="A616"/>
      <c r="B616"/>
      <c r="C616"/>
      <c r="D616"/>
      <c r="E616"/>
      <c r="F616"/>
      <c r="G616"/>
      <c r="H616"/>
      <c r="I616"/>
      <c r="J616"/>
      <c r="K616"/>
      <c r="L616"/>
    </row>
    <row r="617" spans="1:12">
      <c r="A617"/>
      <c r="B617"/>
      <c r="C617"/>
      <c r="D617"/>
      <c r="E617"/>
      <c r="F617"/>
      <c r="G617"/>
      <c r="H617"/>
      <c r="I617"/>
      <c r="J617"/>
      <c r="K617"/>
      <c r="L617"/>
    </row>
    <row r="618" spans="1:12">
      <c r="A618"/>
      <c r="B618"/>
      <c r="C618"/>
      <c r="D618"/>
      <c r="E618"/>
      <c r="F618"/>
      <c r="G618"/>
      <c r="H618"/>
      <c r="I618"/>
      <c r="J618"/>
      <c r="K618"/>
      <c r="L618"/>
    </row>
    <row r="619" spans="1:12">
      <c r="A619"/>
      <c r="B619"/>
      <c r="C619"/>
      <c r="D619"/>
      <c r="E619"/>
      <c r="F619"/>
      <c r="G619"/>
      <c r="H619"/>
      <c r="I619"/>
      <c r="J619"/>
      <c r="K619"/>
      <c r="L619"/>
    </row>
    <row r="620" spans="1:12">
      <c r="A620"/>
      <c r="B620"/>
      <c r="C620"/>
      <c r="D620"/>
      <c r="E620"/>
      <c r="F620"/>
      <c r="G620"/>
      <c r="H620"/>
      <c r="I620"/>
      <c r="J620"/>
      <c r="K620"/>
      <c r="L620"/>
    </row>
    <row r="621" spans="1:12">
      <c r="A621"/>
      <c r="B621"/>
      <c r="C621"/>
      <c r="D621"/>
      <c r="E621"/>
      <c r="F621"/>
      <c r="G621"/>
      <c r="H621"/>
      <c r="I621"/>
      <c r="J621"/>
      <c r="K621"/>
      <c r="L621"/>
    </row>
    <row r="622" spans="1:12">
      <c r="A622"/>
      <c r="B622"/>
      <c r="C622"/>
      <c r="D622"/>
      <c r="E622"/>
      <c r="F622"/>
      <c r="G622"/>
      <c r="H622"/>
      <c r="I622"/>
      <c r="J622"/>
      <c r="K622"/>
      <c r="L622"/>
    </row>
    <row r="623" spans="1:12">
      <c r="A623"/>
      <c r="B623"/>
      <c r="C623"/>
      <c r="D623"/>
      <c r="E623"/>
      <c r="F623"/>
      <c r="G623"/>
      <c r="H623"/>
      <c r="I623"/>
      <c r="J623"/>
      <c r="K623"/>
      <c r="L623"/>
    </row>
    <row r="624" spans="1:12">
      <c r="A624"/>
      <c r="B624"/>
      <c r="C624"/>
      <c r="D624"/>
      <c r="E624"/>
      <c r="F624"/>
      <c r="G624"/>
      <c r="H624"/>
      <c r="I624"/>
      <c r="J624"/>
      <c r="K624"/>
      <c r="L624"/>
    </row>
    <row r="625" spans="1:12">
      <c r="A625"/>
      <c r="B625"/>
      <c r="C625"/>
      <c r="D625"/>
      <c r="E625"/>
      <c r="F625"/>
      <c r="G625"/>
      <c r="H625"/>
      <c r="I625"/>
      <c r="J625"/>
      <c r="K625"/>
      <c r="L625"/>
    </row>
    <row r="626" spans="1:12">
      <c r="A626"/>
      <c r="B626"/>
      <c r="C626"/>
      <c r="D626"/>
      <c r="E626"/>
      <c r="F626"/>
      <c r="G626"/>
      <c r="H626"/>
      <c r="I626"/>
      <c r="J626"/>
      <c r="K626"/>
      <c r="L626"/>
    </row>
    <row r="627" spans="1:12">
      <c r="A627"/>
      <c r="B627"/>
      <c r="C627"/>
      <c r="D627"/>
      <c r="E627"/>
      <c r="F627"/>
      <c r="G627"/>
      <c r="H627"/>
      <c r="I627"/>
      <c r="J627"/>
      <c r="K627"/>
      <c r="L627"/>
    </row>
    <row r="628" spans="1:12">
      <c r="A628"/>
      <c r="B628"/>
      <c r="C628"/>
      <c r="D628"/>
      <c r="E628"/>
      <c r="F628"/>
      <c r="G628"/>
      <c r="H628"/>
      <c r="I628"/>
      <c r="J628"/>
      <c r="K628"/>
      <c r="L628"/>
    </row>
    <row r="629" spans="1:12">
      <c r="A629"/>
      <c r="B629"/>
      <c r="C629"/>
      <c r="D629"/>
      <c r="E629"/>
      <c r="F629"/>
      <c r="G629"/>
      <c r="H629"/>
      <c r="I629"/>
      <c r="J629"/>
      <c r="K629"/>
      <c r="L629"/>
    </row>
    <row r="630" spans="1:12">
      <c r="A630"/>
      <c r="B630"/>
      <c r="C630"/>
      <c r="D630"/>
      <c r="E630"/>
      <c r="F630"/>
      <c r="G630"/>
      <c r="H630"/>
      <c r="I630"/>
      <c r="J630"/>
      <c r="K630"/>
      <c r="L630"/>
    </row>
    <row r="631" spans="1:12">
      <c r="A631"/>
      <c r="B631"/>
      <c r="C631"/>
      <c r="D631"/>
      <c r="E631"/>
      <c r="F631"/>
      <c r="G631"/>
      <c r="H631"/>
      <c r="I631"/>
      <c r="J631"/>
      <c r="K631"/>
      <c r="L631"/>
    </row>
    <row r="632" spans="1:12">
      <c r="A632"/>
      <c r="B632"/>
      <c r="C632"/>
      <c r="D632"/>
      <c r="E632"/>
      <c r="F632"/>
      <c r="G632"/>
      <c r="H632"/>
      <c r="I632"/>
      <c r="J632"/>
      <c r="K632"/>
      <c r="L632"/>
    </row>
    <row r="633" spans="1:12">
      <c r="A633"/>
      <c r="B633"/>
      <c r="C633"/>
      <c r="D633"/>
      <c r="E633"/>
      <c r="F633"/>
      <c r="G633"/>
      <c r="H633"/>
      <c r="I633"/>
      <c r="J633"/>
      <c r="K633"/>
      <c r="L633"/>
    </row>
    <row r="634" spans="1:12">
      <c r="A634"/>
      <c r="B634"/>
      <c r="C634"/>
      <c r="D634"/>
      <c r="E634"/>
      <c r="F634"/>
      <c r="G634"/>
      <c r="H634"/>
      <c r="I634"/>
      <c r="J634"/>
      <c r="K634"/>
      <c r="L634"/>
    </row>
    <row r="635" spans="1:12">
      <c r="A635"/>
      <c r="B635"/>
      <c r="C635"/>
      <c r="D635"/>
      <c r="E635"/>
      <c r="F635"/>
      <c r="G635"/>
      <c r="H635"/>
      <c r="I635"/>
      <c r="J635"/>
      <c r="K635"/>
      <c r="L635"/>
    </row>
    <row r="636" spans="1:12">
      <c r="A636"/>
      <c r="B636"/>
      <c r="C636"/>
      <c r="D636"/>
      <c r="E636"/>
      <c r="F636"/>
      <c r="G636"/>
      <c r="H636"/>
      <c r="I636"/>
      <c r="J636"/>
      <c r="K636"/>
      <c r="L636"/>
    </row>
    <row r="637" spans="1:12">
      <c r="A637"/>
      <c r="B637"/>
      <c r="C637"/>
      <c r="D637"/>
      <c r="E637"/>
      <c r="F637"/>
      <c r="G637"/>
      <c r="H637"/>
      <c r="I637"/>
      <c r="J637"/>
      <c r="K637"/>
      <c r="L637"/>
    </row>
    <row r="638" spans="1:12">
      <c r="A638"/>
      <c r="B638"/>
      <c r="C638"/>
      <c r="D638"/>
      <c r="E638"/>
      <c r="F638"/>
      <c r="G638"/>
      <c r="H638"/>
      <c r="I638"/>
      <c r="J638"/>
      <c r="K638"/>
      <c r="L638"/>
    </row>
    <row r="639" spans="1:12">
      <c r="A639"/>
      <c r="B639"/>
      <c r="C639"/>
      <c r="D639"/>
      <c r="E639"/>
      <c r="F639"/>
      <c r="G639"/>
      <c r="H639"/>
      <c r="I639"/>
      <c r="J639"/>
      <c r="K639"/>
      <c r="L639"/>
    </row>
    <row r="640" spans="1:12">
      <c r="A640"/>
      <c r="B640"/>
      <c r="C640"/>
      <c r="D640"/>
      <c r="E640"/>
      <c r="F640"/>
      <c r="G640"/>
      <c r="H640"/>
      <c r="I640"/>
      <c r="J640"/>
      <c r="K640"/>
      <c r="L640"/>
    </row>
    <row r="641" spans="1:12">
      <c r="A641"/>
      <c r="B641"/>
      <c r="C641"/>
      <c r="D641"/>
      <c r="E641"/>
      <c r="F641"/>
      <c r="G641"/>
      <c r="H641"/>
      <c r="I641"/>
      <c r="J641"/>
      <c r="K641"/>
      <c r="L641"/>
    </row>
    <row r="642" spans="1:12">
      <c r="A642"/>
      <c r="B642"/>
      <c r="C642"/>
      <c r="D642"/>
      <c r="E642"/>
      <c r="F642"/>
      <c r="G642"/>
      <c r="H642"/>
      <c r="I642"/>
      <c r="J642"/>
      <c r="K642"/>
      <c r="L642"/>
    </row>
    <row r="643" spans="1:12">
      <c r="A643"/>
      <c r="B643"/>
      <c r="C643"/>
      <c r="D643"/>
      <c r="E643"/>
      <c r="F643"/>
      <c r="G643"/>
      <c r="H643"/>
      <c r="I643"/>
      <c r="J643"/>
      <c r="K643"/>
      <c r="L643"/>
    </row>
    <row r="644" spans="1:12">
      <c r="A644"/>
      <c r="B644"/>
      <c r="C644"/>
      <c r="D644"/>
      <c r="E644"/>
      <c r="F644"/>
      <c r="G644"/>
      <c r="H644"/>
      <c r="I644"/>
      <c r="J644"/>
      <c r="K644"/>
      <c r="L644"/>
    </row>
    <row r="645" spans="1:12">
      <c r="A645"/>
      <c r="B645"/>
      <c r="C645"/>
      <c r="D645"/>
      <c r="E645"/>
      <c r="F645"/>
      <c r="G645"/>
      <c r="H645"/>
      <c r="I645"/>
      <c r="J645"/>
      <c r="K645"/>
      <c r="L645"/>
    </row>
    <row r="646" spans="1:12">
      <c r="A646"/>
      <c r="B646"/>
      <c r="C646"/>
      <c r="D646"/>
      <c r="E646"/>
      <c r="F646"/>
      <c r="G646"/>
      <c r="H646"/>
      <c r="I646"/>
      <c r="J646"/>
      <c r="K646"/>
      <c r="L646"/>
    </row>
    <row r="647" spans="1:12">
      <c r="A647"/>
      <c r="B647"/>
      <c r="C647"/>
      <c r="D647"/>
      <c r="E647"/>
      <c r="F647"/>
      <c r="G647"/>
      <c r="H647"/>
      <c r="I647"/>
      <c r="J647"/>
      <c r="K647"/>
      <c r="L647"/>
    </row>
    <row r="648" spans="1:12">
      <c r="A648"/>
      <c r="B648"/>
      <c r="C648"/>
      <c r="D648"/>
      <c r="E648"/>
      <c r="F648"/>
      <c r="G648"/>
      <c r="H648"/>
      <c r="I648"/>
      <c r="J648"/>
      <c r="K648"/>
      <c r="L648"/>
    </row>
    <row r="649" spans="1:12">
      <c r="A649"/>
      <c r="B649"/>
      <c r="C649"/>
      <c r="D649"/>
      <c r="E649"/>
      <c r="F649"/>
      <c r="G649"/>
      <c r="H649"/>
      <c r="I649"/>
      <c r="J649"/>
      <c r="K649"/>
      <c r="L649"/>
    </row>
    <row r="650" spans="1:12">
      <c r="A650"/>
      <c r="B650"/>
      <c r="C650"/>
      <c r="D650"/>
      <c r="E650"/>
      <c r="F650"/>
      <c r="G650"/>
      <c r="H650"/>
      <c r="I650"/>
      <c r="J650"/>
      <c r="K650"/>
      <c r="L650"/>
    </row>
    <row r="651" spans="1:12">
      <c r="A651"/>
      <c r="B651"/>
      <c r="C651"/>
      <c r="D651"/>
      <c r="E651"/>
      <c r="F651"/>
      <c r="G651"/>
      <c r="H651"/>
      <c r="I651"/>
      <c r="J651"/>
      <c r="K651"/>
      <c r="L651"/>
    </row>
    <row r="652" spans="1:12">
      <c r="A652"/>
      <c r="B652"/>
      <c r="C652"/>
      <c r="D652"/>
      <c r="E652"/>
      <c r="F652"/>
      <c r="G652"/>
      <c r="H652"/>
      <c r="I652"/>
      <c r="J652"/>
      <c r="K652"/>
      <c r="L652"/>
    </row>
    <row r="653" spans="1:12">
      <c r="A653"/>
      <c r="B653"/>
      <c r="C653"/>
      <c r="D653"/>
      <c r="E653"/>
      <c r="F653"/>
      <c r="G653"/>
      <c r="H653"/>
      <c r="I653"/>
      <c r="J653"/>
      <c r="K653"/>
      <c r="L653"/>
    </row>
    <row r="654" spans="1:12">
      <c r="A654"/>
      <c r="B654"/>
      <c r="C654"/>
      <c r="D654"/>
      <c r="E654"/>
      <c r="F654"/>
      <c r="G654"/>
      <c r="H654"/>
      <c r="I654"/>
      <c r="J654"/>
      <c r="K654"/>
      <c r="L654"/>
    </row>
    <row r="655" spans="1:12">
      <c r="A655"/>
      <c r="B655"/>
      <c r="C655"/>
      <c r="D655"/>
      <c r="E655"/>
      <c r="F655"/>
      <c r="G655"/>
      <c r="H655"/>
      <c r="I655"/>
      <c r="J655"/>
      <c r="K655"/>
      <c r="L655"/>
    </row>
    <row r="656" spans="1:12">
      <c r="A656"/>
      <c r="B656"/>
      <c r="C656"/>
      <c r="D656"/>
      <c r="E656"/>
      <c r="F656"/>
      <c r="G656"/>
      <c r="H656"/>
      <c r="I656"/>
      <c r="J656"/>
      <c r="K656"/>
      <c r="L656"/>
    </row>
    <row r="657" spans="1:12">
      <c r="A657"/>
      <c r="B657"/>
      <c r="C657"/>
      <c r="D657"/>
      <c r="E657"/>
      <c r="F657"/>
      <c r="G657"/>
      <c r="H657"/>
      <c r="I657"/>
      <c r="J657"/>
      <c r="K657"/>
      <c r="L657"/>
    </row>
    <row r="658" spans="1:12">
      <c r="A658"/>
      <c r="B658"/>
      <c r="C658"/>
      <c r="D658"/>
      <c r="E658"/>
      <c r="F658"/>
      <c r="G658"/>
      <c r="H658"/>
      <c r="I658"/>
      <c r="J658"/>
      <c r="K658"/>
      <c r="L658"/>
    </row>
    <row r="659" spans="1:12">
      <c r="A659"/>
      <c r="B659"/>
      <c r="C659"/>
      <c r="D659"/>
      <c r="E659"/>
      <c r="F659"/>
      <c r="G659"/>
      <c r="H659"/>
      <c r="I659"/>
      <c r="J659"/>
      <c r="K659"/>
      <c r="L659"/>
    </row>
    <row r="660" spans="1:12">
      <c r="A660"/>
      <c r="B660"/>
      <c r="C660"/>
      <c r="D660"/>
      <c r="E660"/>
      <c r="F660"/>
      <c r="G660"/>
      <c r="H660"/>
      <c r="I660"/>
      <c r="J660"/>
      <c r="K660"/>
      <c r="L660"/>
    </row>
    <row r="661" spans="1:12">
      <c r="A661"/>
      <c r="B661"/>
      <c r="C661"/>
      <c r="D661"/>
      <c r="E661"/>
      <c r="F661"/>
      <c r="G661"/>
      <c r="H661"/>
      <c r="I661"/>
      <c r="J661"/>
      <c r="K661"/>
      <c r="L661"/>
    </row>
    <row r="662" spans="1:12">
      <c r="A662"/>
      <c r="B662"/>
      <c r="C662"/>
      <c r="D662"/>
      <c r="E662"/>
      <c r="F662"/>
      <c r="G662"/>
      <c r="H662"/>
      <c r="I662"/>
      <c r="J662"/>
      <c r="K662"/>
      <c r="L662"/>
    </row>
    <row r="663" spans="1:12">
      <c r="A663"/>
      <c r="B663"/>
      <c r="C663"/>
      <c r="D663"/>
      <c r="E663"/>
      <c r="F663"/>
      <c r="G663"/>
      <c r="H663"/>
      <c r="I663"/>
      <c r="J663"/>
      <c r="K663"/>
      <c r="L663"/>
    </row>
    <row r="664" spans="1:12">
      <c r="A664"/>
      <c r="B664"/>
      <c r="C664"/>
      <c r="D664"/>
      <c r="E664"/>
      <c r="F664"/>
      <c r="G664"/>
      <c r="H664"/>
      <c r="I664"/>
      <c r="J664"/>
      <c r="K664"/>
      <c r="L664"/>
    </row>
    <row r="665" spans="1:12">
      <c r="A665"/>
      <c r="B665"/>
      <c r="C665"/>
      <c r="D665"/>
      <c r="E665"/>
      <c r="F665"/>
      <c r="G665"/>
      <c r="H665"/>
      <c r="I665"/>
      <c r="J665"/>
      <c r="K665"/>
      <c r="L665"/>
    </row>
    <row r="666" spans="1:12">
      <c r="A666"/>
      <c r="B666"/>
      <c r="C666"/>
      <c r="D666"/>
      <c r="E666"/>
      <c r="F666"/>
      <c r="G666"/>
      <c r="H666"/>
      <c r="I666"/>
      <c r="J666"/>
      <c r="K666"/>
      <c r="L666"/>
    </row>
    <row r="667" spans="1:12">
      <c r="A667"/>
      <c r="B667"/>
      <c r="C667"/>
      <c r="D667"/>
      <c r="E667"/>
      <c r="F667"/>
      <c r="G667"/>
      <c r="H667"/>
      <c r="I667"/>
      <c r="J667"/>
      <c r="K667"/>
      <c r="L667"/>
    </row>
    <row r="668" spans="1:12">
      <c r="A668"/>
      <c r="B668"/>
      <c r="C668"/>
      <c r="D668"/>
      <c r="E668"/>
      <c r="F668"/>
      <c r="G668"/>
      <c r="H668"/>
      <c r="I668"/>
      <c r="J668"/>
      <c r="K668"/>
      <c r="L668"/>
    </row>
    <row r="669" spans="1:12">
      <c r="A669"/>
      <c r="B669"/>
      <c r="C669"/>
      <c r="D669"/>
      <c r="E669"/>
      <c r="F669"/>
      <c r="G669"/>
      <c r="H669"/>
      <c r="I669"/>
      <c r="J669"/>
      <c r="K669"/>
      <c r="L669"/>
    </row>
    <row r="670" spans="1:12">
      <c r="A670"/>
      <c r="B670"/>
      <c r="C670"/>
      <c r="D670"/>
      <c r="E670"/>
      <c r="F670"/>
      <c r="G670"/>
      <c r="H670"/>
      <c r="I670"/>
      <c r="J670"/>
      <c r="K670"/>
      <c r="L670"/>
    </row>
    <row r="671" spans="1:12">
      <c r="A671"/>
      <c r="B671"/>
      <c r="C671"/>
      <c r="D671"/>
      <c r="E671"/>
      <c r="F671"/>
      <c r="G671"/>
      <c r="H671"/>
      <c r="I671"/>
      <c r="J671"/>
      <c r="K671"/>
      <c r="L671"/>
    </row>
    <row r="672" spans="1:12">
      <c r="A672"/>
      <c r="B672"/>
      <c r="C672"/>
      <c r="D672"/>
      <c r="E672"/>
      <c r="F672"/>
      <c r="G672"/>
      <c r="H672"/>
      <c r="I672"/>
      <c r="J672"/>
      <c r="K672"/>
      <c r="L672"/>
    </row>
    <row r="673" spans="1:12">
      <c r="A673"/>
      <c r="B673"/>
      <c r="C673"/>
      <c r="D673"/>
      <c r="E673"/>
      <c r="F673"/>
      <c r="G673"/>
      <c r="H673"/>
      <c r="I673"/>
      <c r="J673"/>
      <c r="K673"/>
      <c r="L673"/>
    </row>
    <row r="674" spans="1:12">
      <c r="A674"/>
      <c r="B674"/>
      <c r="C674"/>
      <c r="D674"/>
      <c r="E674"/>
      <c r="F674"/>
      <c r="G674"/>
      <c r="H674"/>
      <c r="I674"/>
      <c r="J674"/>
      <c r="K674"/>
      <c r="L674"/>
    </row>
    <row r="675" spans="1:12">
      <c r="A675"/>
      <c r="B675"/>
      <c r="C675"/>
      <c r="D675"/>
      <c r="E675"/>
      <c r="F675"/>
      <c r="G675"/>
      <c r="H675"/>
      <c r="I675"/>
      <c r="J675"/>
      <c r="K675"/>
      <c r="L675"/>
    </row>
    <row r="676" spans="1:12">
      <c r="A676"/>
      <c r="B676"/>
      <c r="C676"/>
      <c r="D676"/>
      <c r="E676"/>
      <c r="F676"/>
      <c r="G676"/>
      <c r="H676"/>
      <c r="I676"/>
      <c r="J676"/>
      <c r="K676"/>
      <c r="L676"/>
    </row>
    <row r="677" spans="1:12">
      <c r="A677"/>
      <c r="B677"/>
      <c r="C677"/>
      <c r="D677"/>
      <c r="E677"/>
      <c r="F677"/>
      <c r="G677"/>
      <c r="H677"/>
      <c r="I677"/>
      <c r="J677"/>
      <c r="K677"/>
      <c r="L677"/>
    </row>
    <row r="678" spans="1:12">
      <c r="A678"/>
      <c r="B678"/>
      <c r="C678"/>
      <c r="D678"/>
      <c r="E678"/>
      <c r="F678"/>
      <c r="G678"/>
      <c r="H678"/>
      <c r="I678"/>
      <c r="J678"/>
      <c r="K678"/>
      <c r="L678"/>
    </row>
    <row r="679" spans="1:12">
      <c r="A679"/>
      <c r="B679"/>
      <c r="C679"/>
      <c r="D679"/>
      <c r="E679"/>
      <c r="F679"/>
      <c r="G679"/>
      <c r="H679"/>
      <c r="I679"/>
      <c r="J679"/>
      <c r="K679"/>
      <c r="L679"/>
    </row>
    <row r="680" spans="1:12">
      <c r="A680"/>
      <c r="B680"/>
      <c r="C680"/>
      <c r="D680"/>
      <c r="E680"/>
      <c r="F680"/>
      <c r="G680"/>
      <c r="H680"/>
      <c r="I680"/>
      <c r="J680"/>
      <c r="K680"/>
      <c r="L680"/>
    </row>
    <row r="681" spans="1:12">
      <c r="A681"/>
      <c r="B681"/>
      <c r="C681"/>
      <c r="D681"/>
      <c r="E681"/>
      <c r="F681"/>
      <c r="G681"/>
      <c r="H681"/>
      <c r="I681"/>
      <c r="J681"/>
      <c r="K681"/>
      <c r="L681"/>
    </row>
    <row r="682" spans="1:12">
      <c r="A682"/>
      <c r="B682"/>
      <c r="C682"/>
      <c r="D682"/>
      <c r="E682"/>
      <c r="F682"/>
      <c r="G682"/>
      <c r="H682"/>
      <c r="I682"/>
      <c r="J682"/>
      <c r="K682"/>
      <c r="L682"/>
    </row>
    <row r="683" spans="1:12">
      <c r="A683"/>
      <c r="B683"/>
      <c r="C683"/>
      <c r="D683"/>
      <c r="E683"/>
      <c r="F683"/>
      <c r="G683"/>
      <c r="H683"/>
      <c r="I683"/>
      <c r="J683"/>
      <c r="K683"/>
      <c r="L683"/>
    </row>
    <row r="684" spans="1:12">
      <c r="A684"/>
      <c r="B684"/>
      <c r="C684"/>
      <c r="D684"/>
      <c r="E684"/>
      <c r="F684"/>
      <c r="G684"/>
      <c r="H684"/>
      <c r="I684"/>
      <c r="J684"/>
      <c r="K684"/>
      <c r="L684"/>
    </row>
    <row r="685" spans="1:12">
      <c r="A685"/>
      <c r="B685"/>
      <c r="C685"/>
      <c r="D685"/>
      <c r="E685"/>
      <c r="F685"/>
      <c r="G685"/>
      <c r="H685"/>
      <c r="I685"/>
      <c r="J685"/>
      <c r="K685"/>
      <c r="L685"/>
    </row>
    <row r="686" spans="1:12">
      <c r="A686"/>
      <c r="B686"/>
      <c r="C686"/>
      <c r="D686"/>
      <c r="E686"/>
      <c r="F686"/>
      <c r="G686"/>
      <c r="H686"/>
      <c r="I686"/>
      <c r="J686"/>
      <c r="K686"/>
      <c r="L686"/>
    </row>
    <row r="687" spans="1:12">
      <c r="A687"/>
      <c r="B687"/>
      <c r="C687"/>
      <c r="D687"/>
      <c r="E687"/>
      <c r="F687"/>
      <c r="G687"/>
      <c r="H687"/>
      <c r="I687"/>
      <c r="J687"/>
      <c r="K687"/>
      <c r="L687"/>
    </row>
    <row r="688" spans="1:12">
      <c r="A688"/>
      <c r="B688"/>
      <c r="C688"/>
      <c r="D688"/>
      <c r="E688"/>
      <c r="F688"/>
      <c r="G688"/>
      <c r="H688"/>
      <c r="I688"/>
      <c r="J688"/>
      <c r="K688"/>
      <c r="L688"/>
    </row>
    <row r="689" spans="1:12">
      <c r="A689"/>
      <c r="B689"/>
      <c r="C689"/>
      <c r="D689"/>
      <c r="E689"/>
      <c r="F689"/>
      <c r="G689"/>
      <c r="H689"/>
      <c r="I689"/>
      <c r="J689"/>
      <c r="K689"/>
      <c r="L689"/>
    </row>
    <row r="690" spans="1:12">
      <c r="A690"/>
      <c r="B690"/>
      <c r="C690"/>
      <c r="D690"/>
      <c r="E690"/>
      <c r="F690"/>
      <c r="G690"/>
      <c r="H690"/>
      <c r="I690"/>
      <c r="J690"/>
      <c r="K690"/>
      <c r="L690"/>
    </row>
    <row r="691" spans="1:12">
      <c r="A691"/>
      <c r="B691"/>
      <c r="C691"/>
      <c r="D691"/>
      <c r="E691"/>
      <c r="F691"/>
      <c r="G691"/>
      <c r="H691"/>
      <c r="I691"/>
      <c r="J691"/>
      <c r="K691"/>
      <c r="L691"/>
    </row>
    <row r="692" spans="1:12">
      <c r="A692"/>
      <c r="B692"/>
      <c r="C692"/>
      <c r="D692"/>
      <c r="E692"/>
      <c r="F692"/>
      <c r="G692"/>
      <c r="H692"/>
      <c r="I692"/>
      <c r="J692"/>
      <c r="K692"/>
      <c r="L692"/>
    </row>
    <row r="693" spans="1:12">
      <c r="A693"/>
      <c r="B693"/>
      <c r="C693"/>
      <c r="D693"/>
      <c r="E693"/>
      <c r="F693"/>
      <c r="G693"/>
      <c r="H693"/>
      <c r="I693"/>
      <c r="J693"/>
      <c r="K693"/>
      <c r="L693"/>
    </row>
    <row r="694" spans="1:12">
      <c r="A694"/>
      <c r="B694"/>
      <c r="C694"/>
      <c r="D694"/>
      <c r="E694"/>
      <c r="F694"/>
      <c r="G694"/>
      <c r="H694"/>
      <c r="I694"/>
      <c r="J694"/>
      <c r="K694"/>
      <c r="L694"/>
    </row>
    <row r="695" spans="1:12">
      <c r="A695"/>
      <c r="B695"/>
      <c r="C695"/>
      <c r="D695"/>
      <c r="E695"/>
      <c r="F695"/>
      <c r="G695"/>
      <c r="H695"/>
      <c r="I695"/>
      <c r="J695"/>
      <c r="K695"/>
      <c r="L695"/>
    </row>
    <row r="696" spans="1:12">
      <c r="A696"/>
      <c r="B696"/>
      <c r="C696"/>
      <c r="D696"/>
      <c r="E696"/>
      <c r="F696"/>
      <c r="G696"/>
      <c r="H696"/>
      <c r="I696"/>
      <c r="J696"/>
      <c r="K696"/>
      <c r="L696"/>
    </row>
    <row r="697" spans="1:12">
      <c r="A697"/>
      <c r="B697"/>
      <c r="C697"/>
      <c r="D697"/>
      <c r="E697"/>
      <c r="F697"/>
      <c r="G697"/>
      <c r="H697"/>
      <c r="I697"/>
      <c r="J697"/>
      <c r="K697"/>
      <c r="L697"/>
    </row>
    <row r="698" spans="1:12">
      <c r="A698"/>
      <c r="B698"/>
      <c r="C698"/>
      <c r="D698"/>
      <c r="E698"/>
      <c r="F698"/>
      <c r="G698"/>
      <c r="H698"/>
      <c r="I698"/>
      <c r="J698"/>
      <c r="K698"/>
      <c r="L698"/>
    </row>
    <row r="699" spans="1:12">
      <c r="A699"/>
      <c r="B699"/>
      <c r="C699"/>
      <c r="D699"/>
      <c r="E699"/>
      <c r="F699"/>
      <c r="G699"/>
      <c r="H699"/>
      <c r="I699"/>
      <c r="J699"/>
      <c r="K699"/>
      <c r="L699"/>
    </row>
    <row r="700" spans="1:12">
      <c r="A700"/>
      <c r="B700"/>
      <c r="C700"/>
      <c r="D700"/>
      <c r="E700"/>
      <c r="F700"/>
      <c r="G700"/>
      <c r="H700"/>
      <c r="I700"/>
      <c r="J700"/>
      <c r="K700"/>
      <c r="L700"/>
    </row>
    <row r="701" spans="1:12">
      <c r="A701"/>
      <c r="B701"/>
      <c r="C701"/>
      <c r="D701"/>
      <c r="E701"/>
      <c r="F701"/>
      <c r="G701"/>
      <c r="H701"/>
      <c r="I701"/>
      <c r="J701"/>
      <c r="K701"/>
      <c r="L701"/>
    </row>
    <row r="702" spans="1:12">
      <c r="A702"/>
      <c r="B702"/>
      <c r="C702"/>
      <c r="D702"/>
      <c r="E702"/>
      <c r="F702"/>
      <c r="G702"/>
      <c r="H702"/>
      <c r="I702"/>
      <c r="J702"/>
      <c r="K702"/>
      <c r="L702"/>
    </row>
    <row r="703" spans="1:12">
      <c r="A703"/>
      <c r="B703"/>
      <c r="C703"/>
      <c r="D703"/>
      <c r="E703"/>
      <c r="F703"/>
      <c r="G703"/>
      <c r="H703"/>
      <c r="I703"/>
      <c r="J703"/>
      <c r="K703"/>
      <c r="L703"/>
    </row>
    <row r="704" spans="1:12">
      <c r="A704"/>
      <c r="B704"/>
      <c r="C704"/>
      <c r="D704"/>
      <c r="E704"/>
      <c r="F704"/>
      <c r="G704"/>
      <c r="H704"/>
      <c r="I704"/>
      <c r="J704"/>
      <c r="K704"/>
      <c r="L704"/>
    </row>
    <row r="705" spans="1:12">
      <c r="A705"/>
      <c r="B705"/>
      <c r="C705"/>
      <c r="D705"/>
      <c r="E705"/>
      <c r="F705"/>
      <c r="G705"/>
      <c r="H705"/>
      <c r="I705"/>
      <c r="J705"/>
      <c r="K705"/>
      <c r="L705"/>
    </row>
    <row r="706" spans="1:12">
      <c r="A706"/>
      <c r="B706"/>
      <c r="C706"/>
      <c r="D706"/>
      <c r="E706"/>
      <c r="F706"/>
      <c r="G706"/>
      <c r="H706"/>
      <c r="I706"/>
      <c r="J706"/>
      <c r="K706"/>
      <c r="L706"/>
    </row>
    <row r="707" spans="1:12">
      <c r="A707"/>
      <c r="B707"/>
      <c r="C707"/>
      <c r="D707"/>
      <c r="E707"/>
      <c r="F707"/>
      <c r="G707"/>
      <c r="H707"/>
      <c r="I707"/>
      <c r="J707"/>
      <c r="K707"/>
      <c r="L707"/>
    </row>
    <row r="708" spans="1:12">
      <c r="A708"/>
      <c r="B708"/>
      <c r="C708"/>
      <c r="D708"/>
      <c r="E708"/>
      <c r="F708"/>
      <c r="G708"/>
      <c r="H708"/>
      <c r="I708"/>
      <c r="J708"/>
      <c r="K708"/>
      <c r="L708"/>
    </row>
    <row r="709" spans="1:12">
      <c r="A709"/>
      <c r="B709"/>
      <c r="C709"/>
      <c r="D709"/>
      <c r="E709"/>
      <c r="F709"/>
      <c r="G709"/>
      <c r="H709"/>
      <c r="I709"/>
      <c r="J709"/>
      <c r="K709"/>
      <c r="L709"/>
    </row>
    <row r="710" spans="1:12">
      <c r="A710"/>
      <c r="B710"/>
      <c r="C710"/>
      <c r="D710"/>
      <c r="E710"/>
      <c r="F710"/>
      <c r="G710"/>
      <c r="H710"/>
      <c r="I710"/>
      <c r="J710"/>
      <c r="K710"/>
      <c r="L710"/>
    </row>
    <row r="711" spans="1:12">
      <c r="A711"/>
      <c r="B711"/>
      <c r="C711"/>
      <c r="D711"/>
      <c r="E711"/>
      <c r="F711"/>
      <c r="G711"/>
      <c r="H711"/>
      <c r="I711"/>
      <c r="J711"/>
      <c r="K711"/>
      <c r="L711"/>
    </row>
    <row r="712" spans="1:12">
      <c r="A712"/>
      <c r="B712"/>
      <c r="C712"/>
      <c r="D712"/>
      <c r="E712"/>
      <c r="F712"/>
      <c r="G712"/>
      <c r="H712"/>
      <c r="I712"/>
      <c r="J712"/>
      <c r="K712"/>
      <c r="L712"/>
    </row>
    <row r="713" spans="1:12">
      <c r="A713"/>
      <c r="B713"/>
      <c r="C713"/>
      <c r="D713"/>
      <c r="E713"/>
      <c r="F713"/>
      <c r="G713"/>
      <c r="H713"/>
      <c r="I713"/>
      <c r="J713"/>
      <c r="K713"/>
      <c r="L713"/>
    </row>
    <row r="714" spans="1:12">
      <c r="A714"/>
      <c r="B714"/>
      <c r="C714"/>
      <c r="D714"/>
      <c r="E714"/>
      <c r="F714"/>
      <c r="G714"/>
      <c r="H714"/>
      <c r="I714"/>
      <c r="J714"/>
      <c r="K714"/>
      <c r="L714"/>
    </row>
    <row r="715" spans="1:12">
      <c r="A715"/>
      <c r="B715"/>
      <c r="C715"/>
      <c r="D715"/>
      <c r="E715"/>
      <c r="F715"/>
      <c r="G715"/>
      <c r="H715"/>
      <c r="I715"/>
      <c r="J715"/>
      <c r="K715"/>
      <c r="L715"/>
    </row>
    <row r="716" spans="1:12">
      <c r="A716"/>
      <c r="B716"/>
      <c r="C716"/>
      <c r="D716"/>
      <c r="E716"/>
      <c r="F716"/>
      <c r="G716"/>
      <c r="H716"/>
      <c r="I716"/>
      <c r="J716"/>
      <c r="K716"/>
      <c r="L716"/>
    </row>
    <row r="717" spans="1:12">
      <c r="A717"/>
      <c r="B717"/>
      <c r="C717"/>
      <c r="D717"/>
      <c r="E717"/>
      <c r="F717"/>
      <c r="G717"/>
      <c r="H717"/>
      <c r="I717"/>
      <c r="J717"/>
      <c r="K717"/>
      <c r="L717"/>
    </row>
    <row r="718" spans="1:12">
      <c r="A718"/>
      <c r="B718"/>
      <c r="C718"/>
      <c r="D718"/>
      <c r="E718"/>
      <c r="F718"/>
      <c r="G718"/>
      <c r="H718"/>
      <c r="I718"/>
      <c r="J718"/>
      <c r="K718"/>
      <c r="L718"/>
    </row>
    <row r="719" spans="1:12">
      <c r="A719"/>
      <c r="B719"/>
      <c r="C719"/>
      <c r="D719"/>
      <c r="E719"/>
      <c r="F719"/>
      <c r="G719"/>
      <c r="H719"/>
      <c r="I719"/>
      <c r="J719"/>
      <c r="K719"/>
      <c r="L719"/>
    </row>
    <row r="720" spans="1:12">
      <c r="A720"/>
      <c r="B720"/>
      <c r="C720"/>
      <c r="D720"/>
      <c r="E720"/>
      <c r="F720"/>
      <c r="G720"/>
      <c r="H720"/>
      <c r="I720"/>
      <c r="J720"/>
      <c r="K720"/>
      <c r="L720"/>
    </row>
    <row r="721" spans="1:12">
      <c r="A721"/>
      <c r="B721"/>
      <c r="C721"/>
      <c r="D721"/>
      <c r="E721"/>
      <c r="F721"/>
      <c r="G721"/>
      <c r="H721"/>
      <c r="I721"/>
      <c r="J721"/>
      <c r="K721"/>
      <c r="L721"/>
    </row>
    <row r="722" spans="1:12">
      <c r="A722"/>
      <c r="B722"/>
      <c r="C722"/>
      <c r="D722"/>
      <c r="E722"/>
      <c r="F722"/>
      <c r="G722"/>
      <c r="H722"/>
      <c r="I722"/>
      <c r="J722"/>
      <c r="K722"/>
      <c r="L722"/>
    </row>
    <row r="723" spans="1:12">
      <c r="A723"/>
      <c r="B723"/>
      <c r="C723"/>
      <c r="D723"/>
      <c r="E723"/>
      <c r="F723"/>
      <c r="G723"/>
      <c r="H723"/>
      <c r="I723"/>
      <c r="J723"/>
      <c r="K723"/>
      <c r="L723"/>
    </row>
    <row r="724" spans="1:12">
      <c r="A724"/>
      <c r="B724"/>
      <c r="C724"/>
      <c r="D724"/>
      <c r="E724"/>
      <c r="F724"/>
      <c r="G724"/>
      <c r="H724"/>
      <c r="I724"/>
      <c r="J724"/>
      <c r="K724"/>
      <c r="L724"/>
    </row>
    <row r="725" spans="1:12">
      <c r="A725"/>
      <c r="B725"/>
      <c r="C725"/>
      <c r="D725"/>
      <c r="E725"/>
      <c r="F725"/>
      <c r="G725"/>
      <c r="H725"/>
      <c r="I725"/>
      <c r="J725"/>
      <c r="K725"/>
      <c r="L725"/>
    </row>
    <row r="726" spans="1:12">
      <c r="A726"/>
      <c r="B726"/>
      <c r="C726"/>
      <c r="D726"/>
      <c r="E726"/>
      <c r="F726"/>
      <c r="G726"/>
      <c r="H726"/>
      <c r="I726"/>
      <c r="J726"/>
      <c r="K726"/>
      <c r="L726"/>
    </row>
    <row r="727" spans="1:12">
      <c r="A727"/>
      <c r="B727"/>
      <c r="C727"/>
      <c r="D727"/>
      <c r="E727"/>
      <c r="F727"/>
      <c r="G727"/>
      <c r="H727"/>
      <c r="I727"/>
      <c r="J727"/>
      <c r="K727"/>
      <c r="L727"/>
    </row>
    <row r="728" spans="1:12">
      <c r="A728"/>
      <c r="B728"/>
      <c r="C728"/>
      <c r="D728"/>
      <c r="E728"/>
      <c r="F728"/>
      <c r="G728"/>
      <c r="H728"/>
      <c r="I728"/>
      <c r="J728"/>
      <c r="K728"/>
      <c r="L728"/>
    </row>
    <row r="729" spans="1:12">
      <c r="A729"/>
      <c r="B729"/>
      <c r="C729"/>
      <c r="D729"/>
      <c r="E729"/>
      <c r="F729"/>
      <c r="G729"/>
      <c r="H729"/>
      <c r="I729"/>
      <c r="J729"/>
      <c r="K729"/>
      <c r="L729"/>
    </row>
    <row r="730" spans="1:12">
      <c r="A730"/>
      <c r="B730"/>
      <c r="C730"/>
      <c r="D730"/>
      <c r="E730"/>
      <c r="F730"/>
      <c r="G730"/>
      <c r="H730"/>
      <c r="I730"/>
      <c r="J730"/>
      <c r="K730"/>
      <c r="L730"/>
    </row>
    <row r="731" spans="1:12">
      <c r="A731"/>
      <c r="B731"/>
      <c r="C731"/>
      <c r="D731"/>
      <c r="E731"/>
      <c r="F731"/>
      <c r="G731"/>
      <c r="H731"/>
      <c r="I731"/>
      <c r="J731"/>
      <c r="K731"/>
      <c r="L731"/>
    </row>
    <row r="732" spans="1:12">
      <c r="A732"/>
      <c r="B732"/>
      <c r="C732"/>
      <c r="D732"/>
      <c r="E732"/>
      <c r="F732"/>
      <c r="G732"/>
      <c r="H732"/>
      <c r="I732"/>
      <c r="J732"/>
      <c r="K732"/>
      <c r="L732"/>
    </row>
    <row r="733" spans="1:12">
      <c r="A733"/>
      <c r="B733"/>
      <c r="C733"/>
      <c r="D733"/>
      <c r="E733"/>
      <c r="F733"/>
      <c r="G733"/>
      <c r="H733"/>
      <c r="I733"/>
      <c r="J733"/>
      <c r="K733"/>
      <c r="L733"/>
    </row>
    <row r="734" spans="1:12">
      <c r="A734"/>
      <c r="B734"/>
      <c r="C734"/>
      <c r="D734"/>
      <c r="E734"/>
      <c r="F734"/>
      <c r="G734"/>
      <c r="H734"/>
      <c r="I734"/>
      <c r="J734"/>
      <c r="K734"/>
      <c r="L734"/>
    </row>
    <row r="735" spans="1:12">
      <c r="A735"/>
      <c r="B735"/>
      <c r="C735"/>
      <c r="D735"/>
      <c r="E735"/>
      <c r="F735"/>
      <c r="G735"/>
      <c r="H735"/>
      <c r="I735"/>
      <c r="J735"/>
      <c r="K735"/>
      <c r="L735"/>
    </row>
    <row r="736" spans="1:12">
      <c r="A736"/>
      <c r="B736"/>
      <c r="C736"/>
      <c r="D736"/>
      <c r="E736"/>
      <c r="F736"/>
      <c r="G736"/>
      <c r="H736"/>
      <c r="I736"/>
      <c r="J736"/>
      <c r="K736"/>
      <c r="L736"/>
    </row>
    <row r="737" spans="1:12">
      <c r="A737"/>
      <c r="B737"/>
      <c r="C737"/>
      <c r="D737"/>
      <c r="E737"/>
      <c r="F737"/>
      <c r="G737"/>
      <c r="H737"/>
      <c r="I737"/>
      <c r="J737"/>
      <c r="K737"/>
      <c r="L737"/>
    </row>
    <row r="738" spans="1:12">
      <c r="A738"/>
      <c r="B738"/>
      <c r="C738"/>
      <c r="D738"/>
      <c r="E738"/>
      <c r="F738"/>
      <c r="G738"/>
      <c r="H738"/>
      <c r="I738"/>
      <c r="J738"/>
      <c r="K738"/>
      <c r="L738"/>
    </row>
    <row r="739" spans="1:12">
      <c r="A739"/>
      <c r="B739"/>
      <c r="C739"/>
      <c r="D739"/>
      <c r="E739"/>
      <c r="F739"/>
      <c r="G739"/>
      <c r="H739"/>
      <c r="I739"/>
      <c r="J739"/>
      <c r="K739"/>
      <c r="L739"/>
    </row>
    <row r="740" spans="1:12">
      <c r="A740"/>
      <c r="B740"/>
      <c r="C740"/>
      <c r="D740"/>
      <c r="E740"/>
      <c r="F740"/>
      <c r="G740"/>
      <c r="H740"/>
      <c r="I740"/>
      <c r="J740"/>
      <c r="K740"/>
      <c r="L740"/>
    </row>
    <row r="741" spans="1:12">
      <c r="A741"/>
      <c r="B741"/>
      <c r="C741"/>
      <c r="D741"/>
      <c r="E741"/>
      <c r="F741"/>
      <c r="G741"/>
      <c r="H741"/>
      <c r="I741"/>
      <c r="J741"/>
      <c r="K741"/>
      <c r="L741"/>
    </row>
    <row r="742" spans="1:12">
      <c r="A742"/>
      <c r="B742"/>
      <c r="C742"/>
      <c r="D742"/>
      <c r="E742"/>
      <c r="F742"/>
      <c r="G742"/>
      <c r="H742"/>
      <c r="I742"/>
      <c r="J742"/>
      <c r="K742"/>
      <c r="L742"/>
    </row>
    <row r="743" spans="1:12">
      <c r="A743"/>
      <c r="B743"/>
      <c r="C743"/>
      <c r="D743"/>
      <c r="E743"/>
      <c r="F743"/>
      <c r="G743"/>
      <c r="H743"/>
      <c r="I743"/>
      <c r="J743"/>
      <c r="K743"/>
      <c r="L743"/>
    </row>
    <row r="744" spans="1:12">
      <c r="A744"/>
      <c r="B744"/>
      <c r="C744"/>
      <c r="D744"/>
      <c r="E744"/>
      <c r="F744"/>
      <c r="G744"/>
      <c r="H744"/>
      <c r="I744"/>
      <c r="J744"/>
      <c r="K744"/>
      <c r="L744"/>
    </row>
    <row r="745" spans="1:12">
      <c r="A745"/>
      <c r="B745"/>
      <c r="C745"/>
      <c r="D745"/>
      <c r="E745"/>
      <c r="F745"/>
      <c r="G745"/>
      <c r="H745"/>
      <c r="I745"/>
      <c r="J745"/>
      <c r="K745"/>
      <c r="L745"/>
    </row>
    <row r="746" spans="1:12">
      <c r="A746"/>
      <c r="B746"/>
      <c r="C746"/>
      <c r="D746"/>
      <c r="E746"/>
      <c r="F746"/>
      <c r="G746"/>
      <c r="H746"/>
      <c r="I746"/>
      <c r="J746"/>
      <c r="K746"/>
      <c r="L746"/>
    </row>
    <row r="747" spans="1:12">
      <c r="A747"/>
      <c r="B747"/>
      <c r="C747"/>
      <c r="D747"/>
      <c r="E747"/>
      <c r="F747"/>
      <c r="G747"/>
      <c r="H747"/>
      <c r="I747"/>
      <c r="J747"/>
      <c r="K747"/>
      <c r="L747"/>
    </row>
    <row r="748" spans="1:12">
      <c r="A748"/>
      <c r="B748"/>
      <c r="C748"/>
      <c r="D748"/>
      <c r="E748"/>
      <c r="F748"/>
      <c r="G748"/>
      <c r="H748"/>
      <c r="I748"/>
      <c r="J748"/>
      <c r="K748"/>
      <c r="L748"/>
    </row>
    <row r="749" spans="1:12">
      <c r="A749"/>
      <c r="B749"/>
      <c r="C749"/>
      <c r="D749"/>
      <c r="E749"/>
      <c r="F749"/>
      <c r="G749"/>
      <c r="H749"/>
      <c r="I749"/>
      <c r="J749"/>
      <c r="K749"/>
      <c r="L749"/>
    </row>
    <row r="750" spans="1:12">
      <c r="A750"/>
      <c r="B750"/>
      <c r="C750"/>
      <c r="D750"/>
      <c r="E750"/>
      <c r="F750"/>
      <c r="G750"/>
      <c r="H750"/>
      <c r="I750"/>
      <c r="J750"/>
      <c r="K750"/>
      <c r="L750"/>
    </row>
    <row r="751" spans="1:12">
      <c r="A751"/>
      <c r="B751"/>
      <c r="C751"/>
      <c r="D751"/>
      <c r="E751"/>
      <c r="F751"/>
      <c r="G751"/>
      <c r="H751"/>
      <c r="I751"/>
      <c r="J751"/>
      <c r="K751"/>
      <c r="L751"/>
    </row>
    <row r="752" spans="1:12">
      <c r="A752"/>
      <c r="B752"/>
      <c r="C752"/>
      <c r="D752"/>
      <c r="E752"/>
      <c r="F752"/>
      <c r="G752"/>
      <c r="H752"/>
      <c r="I752"/>
      <c r="J752"/>
      <c r="K752"/>
      <c r="L752"/>
    </row>
    <row r="753" spans="1:12">
      <c r="A753"/>
      <c r="B753"/>
      <c r="C753"/>
      <c r="D753"/>
      <c r="E753"/>
      <c r="F753"/>
      <c r="G753"/>
      <c r="H753"/>
      <c r="I753"/>
      <c r="J753"/>
      <c r="K753"/>
      <c r="L753"/>
    </row>
    <row r="754" spans="1:12">
      <c r="A754"/>
      <c r="B754"/>
      <c r="C754"/>
      <c r="D754"/>
      <c r="E754"/>
      <c r="F754"/>
      <c r="G754"/>
      <c r="H754"/>
      <c r="I754"/>
      <c r="J754"/>
      <c r="K754"/>
      <c r="L754"/>
    </row>
    <row r="755" spans="1:12">
      <c r="A755"/>
      <c r="B755"/>
      <c r="C755"/>
      <c r="D755"/>
      <c r="E755"/>
      <c r="F755"/>
      <c r="G755"/>
      <c r="H755"/>
      <c r="I755"/>
      <c r="J755"/>
      <c r="K755"/>
      <c r="L755"/>
    </row>
    <row r="756" spans="1:12">
      <c r="A756"/>
      <c r="B756"/>
      <c r="C756"/>
      <c r="D756"/>
      <c r="E756"/>
      <c r="F756"/>
      <c r="G756"/>
      <c r="H756"/>
      <c r="I756"/>
      <c r="J756"/>
      <c r="K756"/>
      <c r="L756"/>
    </row>
    <row r="757" spans="1:12">
      <c r="A757"/>
      <c r="B757"/>
      <c r="C757"/>
      <c r="D757"/>
      <c r="E757"/>
      <c r="F757"/>
      <c r="G757"/>
      <c r="H757"/>
      <c r="I757"/>
      <c r="J757"/>
      <c r="K757"/>
      <c r="L757"/>
    </row>
    <row r="758" spans="1:12">
      <c r="A758"/>
      <c r="B758"/>
      <c r="C758"/>
      <c r="D758"/>
      <c r="E758"/>
      <c r="F758"/>
      <c r="G758"/>
      <c r="H758"/>
      <c r="I758"/>
      <c r="J758"/>
      <c r="K758"/>
      <c r="L758"/>
    </row>
    <row r="759" spans="1:12">
      <c r="A759"/>
      <c r="B759"/>
      <c r="C759"/>
      <c r="D759"/>
      <c r="E759"/>
      <c r="F759"/>
      <c r="G759"/>
      <c r="H759"/>
      <c r="I759"/>
      <c r="J759"/>
      <c r="K759"/>
      <c r="L759"/>
    </row>
    <row r="760" spans="1:12">
      <c r="A760"/>
      <c r="B760"/>
      <c r="C760"/>
      <c r="D760"/>
      <c r="E760"/>
      <c r="F760"/>
      <c r="G760"/>
      <c r="H760"/>
      <c r="I760"/>
      <c r="J760"/>
      <c r="K760"/>
      <c r="L760"/>
    </row>
    <row r="761" spans="1:12">
      <c r="A761"/>
      <c r="B761"/>
      <c r="C761"/>
      <c r="D761"/>
      <c r="E761"/>
      <c r="F761"/>
      <c r="G761"/>
      <c r="H761"/>
      <c r="I761"/>
      <c r="J761"/>
      <c r="K761"/>
      <c r="L761"/>
    </row>
    <row r="762" spans="1:12">
      <c r="A762"/>
      <c r="B762"/>
      <c r="C762"/>
      <c r="D762"/>
      <c r="E762"/>
      <c r="F762"/>
      <c r="G762"/>
      <c r="H762"/>
      <c r="I762"/>
      <c r="J762"/>
      <c r="K762"/>
      <c r="L762"/>
    </row>
    <row r="763" spans="1:12">
      <c r="A763"/>
      <c r="B763"/>
      <c r="C763"/>
      <c r="D763"/>
      <c r="E763"/>
      <c r="F763"/>
      <c r="G763"/>
      <c r="H763"/>
      <c r="I763"/>
      <c r="J763"/>
      <c r="K763"/>
      <c r="L763"/>
    </row>
    <row r="764" spans="1:12">
      <c r="A764"/>
      <c r="B764"/>
      <c r="C764"/>
      <c r="D764"/>
      <c r="E764"/>
      <c r="F764"/>
      <c r="G764"/>
      <c r="H764"/>
      <c r="I764"/>
      <c r="J764"/>
      <c r="K764"/>
      <c r="L764"/>
    </row>
    <row r="765" spans="1:12">
      <c r="A765"/>
      <c r="B765"/>
      <c r="C765"/>
      <c r="D765"/>
      <c r="E765"/>
      <c r="F765"/>
      <c r="G765"/>
      <c r="H765"/>
      <c r="I765"/>
      <c r="J765"/>
      <c r="K765"/>
      <c r="L765"/>
    </row>
    <row r="766" spans="1:12">
      <c r="A766"/>
      <c r="B766"/>
      <c r="C766"/>
      <c r="D766"/>
      <c r="E766"/>
      <c r="F766"/>
      <c r="G766"/>
      <c r="H766"/>
      <c r="I766"/>
      <c r="J766"/>
      <c r="K766"/>
      <c r="L766"/>
    </row>
    <row r="767" spans="1:12">
      <c r="A767"/>
      <c r="B767"/>
      <c r="C767"/>
      <c r="D767"/>
      <c r="E767"/>
      <c r="F767"/>
      <c r="G767"/>
      <c r="H767"/>
      <c r="I767"/>
      <c r="J767"/>
      <c r="K767"/>
      <c r="L767"/>
    </row>
    <row r="768" spans="1:12">
      <c r="A768"/>
      <c r="B768"/>
      <c r="C768"/>
      <c r="D768"/>
      <c r="E768"/>
      <c r="F768"/>
      <c r="G768"/>
      <c r="H768"/>
      <c r="I768"/>
      <c r="J768"/>
      <c r="K768"/>
      <c r="L768"/>
    </row>
    <row r="769" spans="1:12">
      <c r="A769"/>
      <c r="B769"/>
      <c r="C769"/>
      <c r="D769"/>
      <c r="E769"/>
      <c r="F769"/>
      <c r="G769"/>
      <c r="H769"/>
      <c r="I769"/>
      <c r="J769"/>
      <c r="K769"/>
      <c r="L769"/>
    </row>
    <row r="770" spans="1:12">
      <c r="A770"/>
      <c r="B770"/>
      <c r="C770"/>
      <c r="D770"/>
      <c r="E770"/>
      <c r="F770"/>
      <c r="G770"/>
      <c r="H770"/>
      <c r="I770"/>
      <c r="J770"/>
      <c r="K770"/>
      <c r="L770"/>
    </row>
    <row r="771" spans="1:12">
      <c r="A771"/>
      <c r="B771"/>
      <c r="C771"/>
      <c r="D771"/>
      <c r="E771"/>
      <c r="F771"/>
      <c r="G771"/>
      <c r="H771"/>
      <c r="I771"/>
      <c r="J771"/>
      <c r="K771"/>
      <c r="L771"/>
    </row>
    <row r="772" spans="1:12">
      <c r="A772"/>
      <c r="B772"/>
      <c r="C772"/>
      <c r="D772"/>
      <c r="E772"/>
      <c r="F772"/>
      <c r="G772"/>
      <c r="H772"/>
      <c r="I772"/>
      <c r="J772"/>
      <c r="K772"/>
      <c r="L772"/>
    </row>
    <row r="773" spans="1:12">
      <c r="A773"/>
      <c r="B773"/>
      <c r="C773"/>
      <c r="D773"/>
      <c r="E773"/>
      <c r="F773"/>
      <c r="G773"/>
      <c r="H773"/>
      <c r="I773"/>
      <c r="J773"/>
      <c r="K773"/>
      <c r="L773"/>
    </row>
    <row r="774" spans="1:12">
      <c r="A774"/>
      <c r="B774"/>
      <c r="C774"/>
      <c r="D774"/>
      <c r="E774"/>
      <c r="F774"/>
      <c r="G774"/>
      <c r="H774"/>
      <c r="I774"/>
      <c r="J774"/>
      <c r="K774"/>
      <c r="L774"/>
    </row>
    <row r="775" spans="1:12">
      <c r="A775"/>
      <c r="B775"/>
      <c r="C775"/>
      <c r="D775"/>
      <c r="E775"/>
      <c r="F775"/>
      <c r="G775"/>
      <c r="H775"/>
      <c r="I775"/>
      <c r="J775"/>
      <c r="K775"/>
      <c r="L775"/>
    </row>
    <row r="776" spans="1:12">
      <c r="A776"/>
      <c r="B776"/>
      <c r="C776"/>
      <c r="D776"/>
      <c r="E776"/>
      <c r="F776"/>
      <c r="G776"/>
      <c r="H776"/>
      <c r="I776"/>
      <c r="J776"/>
      <c r="K776"/>
      <c r="L776"/>
    </row>
    <row r="777" spans="1:12">
      <c r="A777"/>
      <c r="B777"/>
      <c r="C777"/>
      <c r="D777"/>
      <c r="E777"/>
      <c r="F777"/>
      <c r="G777"/>
      <c r="H777"/>
      <c r="I777"/>
      <c r="J777"/>
      <c r="K777"/>
      <c r="L777"/>
    </row>
    <row r="778" spans="1:12">
      <c r="A778"/>
      <c r="B778"/>
      <c r="C778"/>
      <c r="D778"/>
      <c r="E778"/>
      <c r="F778"/>
      <c r="G778"/>
      <c r="H778"/>
      <c r="I778"/>
      <c r="J778"/>
      <c r="K778"/>
      <c r="L778"/>
    </row>
    <row r="779" spans="1:12">
      <c r="A779"/>
      <c r="B779"/>
      <c r="C779"/>
      <c r="D779"/>
      <c r="E779"/>
      <c r="F779"/>
      <c r="G779"/>
      <c r="H779"/>
      <c r="I779"/>
      <c r="J779"/>
      <c r="K779"/>
      <c r="L779"/>
    </row>
    <row r="780" spans="1:12">
      <c r="A780"/>
      <c r="B780"/>
      <c r="C780"/>
      <c r="D780"/>
      <c r="E780"/>
      <c r="F780"/>
      <c r="G780"/>
      <c r="H780"/>
      <c r="I780"/>
      <c r="J780"/>
      <c r="K780"/>
      <c r="L780"/>
    </row>
    <row r="781" spans="1:12">
      <c r="A781"/>
      <c r="B781"/>
      <c r="C781"/>
      <c r="D781"/>
      <c r="E781"/>
      <c r="F781"/>
      <c r="G781"/>
      <c r="H781"/>
      <c r="I781"/>
      <c r="J781"/>
      <c r="K781"/>
      <c r="L781"/>
    </row>
    <row r="782" spans="1:12">
      <c r="A782"/>
      <c r="B782"/>
      <c r="C782"/>
      <c r="D782"/>
      <c r="E782"/>
      <c r="F782"/>
      <c r="G782"/>
      <c r="H782"/>
      <c r="I782"/>
      <c r="J782"/>
      <c r="K782"/>
      <c r="L782"/>
    </row>
    <row r="783" spans="1:12">
      <c r="A783"/>
      <c r="B783"/>
      <c r="C783"/>
      <c r="D783"/>
      <c r="E783"/>
      <c r="F783"/>
      <c r="G783"/>
      <c r="H783"/>
      <c r="I783"/>
      <c r="J783"/>
      <c r="K783"/>
      <c r="L783"/>
    </row>
    <row r="784" spans="1:12">
      <c r="A784"/>
      <c r="B784"/>
      <c r="C784"/>
      <c r="D784"/>
      <c r="E784"/>
      <c r="F784"/>
      <c r="G784"/>
      <c r="H784"/>
      <c r="I784"/>
      <c r="J784"/>
      <c r="K784"/>
      <c r="L784"/>
    </row>
    <row r="785" spans="1:12">
      <c r="A785"/>
      <c r="B785"/>
      <c r="C785"/>
      <c r="D785"/>
      <c r="E785"/>
      <c r="F785"/>
      <c r="G785"/>
      <c r="H785"/>
      <c r="I785"/>
      <c r="J785"/>
      <c r="K785"/>
      <c r="L785"/>
    </row>
    <row r="786" spans="1:12">
      <c r="A786"/>
      <c r="B786"/>
      <c r="C786"/>
      <c r="D786"/>
      <c r="E786"/>
      <c r="F786"/>
      <c r="G786"/>
      <c r="H786"/>
      <c r="I786"/>
      <c r="J786"/>
      <c r="K786"/>
      <c r="L786"/>
    </row>
    <row r="787" spans="1:12">
      <c r="A787"/>
      <c r="B787"/>
      <c r="C787"/>
      <c r="D787"/>
      <c r="E787"/>
      <c r="F787"/>
      <c r="G787"/>
      <c r="H787"/>
      <c r="I787"/>
      <c r="J787"/>
      <c r="K787"/>
      <c r="L787"/>
    </row>
    <row r="788" spans="1:12">
      <c r="A788"/>
      <c r="B788"/>
      <c r="C788"/>
      <c r="D788"/>
      <c r="E788"/>
      <c r="F788"/>
      <c r="G788"/>
      <c r="H788"/>
      <c r="I788"/>
      <c r="J788"/>
      <c r="K788"/>
      <c r="L788"/>
    </row>
    <row r="789" spans="1:12">
      <c r="A789"/>
      <c r="B789"/>
      <c r="C789"/>
      <c r="D789"/>
      <c r="E789"/>
      <c r="F789"/>
      <c r="G789"/>
      <c r="H789"/>
      <c r="I789"/>
      <c r="J789"/>
      <c r="K789"/>
      <c r="L789"/>
    </row>
    <row r="790" spans="1:12">
      <c r="A790"/>
      <c r="B790"/>
      <c r="C790"/>
      <c r="D790"/>
      <c r="E790"/>
      <c r="F790"/>
      <c r="G790"/>
      <c r="H790"/>
      <c r="I790"/>
      <c r="J790"/>
      <c r="K790"/>
      <c r="L790"/>
    </row>
    <row r="791" spans="1:12">
      <c r="A791"/>
      <c r="B791"/>
      <c r="C791"/>
      <c r="D791"/>
      <c r="E791"/>
      <c r="F791"/>
      <c r="G791"/>
      <c r="H791"/>
      <c r="I791"/>
      <c r="J791"/>
      <c r="K791"/>
      <c r="L791"/>
    </row>
    <row r="792" spans="1:12">
      <c r="A792"/>
      <c r="B792"/>
      <c r="C792"/>
      <c r="D792"/>
      <c r="E792"/>
      <c r="F792"/>
      <c r="G792"/>
      <c r="H792"/>
      <c r="I792"/>
      <c r="J792"/>
      <c r="K792"/>
      <c r="L792"/>
    </row>
    <row r="793" spans="1:12">
      <c r="A793"/>
      <c r="B793"/>
      <c r="C793"/>
      <c r="D793"/>
      <c r="E793"/>
      <c r="F793"/>
      <c r="G793"/>
      <c r="H793"/>
      <c r="I793"/>
      <c r="J793"/>
      <c r="K793"/>
      <c r="L793"/>
    </row>
    <row r="794" spans="1:12">
      <c r="A794"/>
      <c r="B794"/>
      <c r="C794"/>
      <c r="D794"/>
      <c r="E794"/>
      <c r="F794"/>
      <c r="G794"/>
      <c r="H794"/>
      <c r="I794"/>
      <c r="J794"/>
      <c r="K794"/>
      <c r="L794"/>
    </row>
    <row r="795" spans="1:12">
      <c r="A795"/>
      <c r="B795"/>
      <c r="C795"/>
      <c r="D795"/>
      <c r="E795"/>
      <c r="F795"/>
      <c r="G795"/>
      <c r="H795"/>
      <c r="I795"/>
      <c r="J795"/>
      <c r="K795"/>
      <c r="L795"/>
    </row>
    <row r="796" spans="1:12">
      <c r="A796"/>
      <c r="B796"/>
      <c r="C796"/>
      <c r="D796"/>
      <c r="E796"/>
      <c r="F796"/>
      <c r="G796"/>
      <c r="H796"/>
      <c r="I796"/>
      <c r="J796"/>
      <c r="K796"/>
      <c r="L796"/>
    </row>
    <row r="797" spans="1:12">
      <c r="A797"/>
      <c r="B797"/>
      <c r="C797"/>
      <c r="D797"/>
      <c r="E797"/>
      <c r="F797"/>
      <c r="G797"/>
      <c r="H797"/>
      <c r="I797"/>
      <c r="J797"/>
      <c r="K797"/>
      <c r="L797"/>
    </row>
    <row r="798" spans="1:12">
      <c r="A798"/>
      <c r="B798"/>
      <c r="C798"/>
      <c r="D798"/>
      <c r="E798"/>
      <c r="F798"/>
      <c r="G798"/>
      <c r="H798"/>
      <c r="I798"/>
      <c r="J798"/>
      <c r="K798"/>
      <c r="L798"/>
    </row>
    <row r="799" spans="1:12">
      <c r="A799"/>
      <c r="B799"/>
      <c r="C799"/>
      <c r="D799"/>
      <c r="E799"/>
      <c r="F799"/>
      <c r="G799"/>
      <c r="H799"/>
      <c r="I799"/>
      <c r="J799"/>
      <c r="K799"/>
      <c r="L799"/>
    </row>
    <row r="800" spans="1:12">
      <c r="A800"/>
      <c r="B800"/>
      <c r="C800"/>
      <c r="D800"/>
      <c r="E800"/>
      <c r="F800"/>
      <c r="G800"/>
      <c r="H800"/>
      <c r="I800"/>
      <c r="J800"/>
      <c r="K800"/>
      <c r="L800"/>
    </row>
    <row r="801" spans="1:12">
      <c r="A801"/>
      <c r="B801"/>
      <c r="C801"/>
      <c r="D801"/>
      <c r="E801"/>
      <c r="F801"/>
      <c r="G801"/>
      <c r="H801"/>
      <c r="I801"/>
      <c r="J801"/>
      <c r="K801"/>
      <c r="L801"/>
    </row>
    <row r="802" spans="1:12">
      <c r="A802"/>
      <c r="B802"/>
      <c r="C802"/>
      <c r="D802"/>
      <c r="E802"/>
      <c r="F802"/>
      <c r="G802"/>
      <c r="H802"/>
      <c r="I802"/>
      <c r="J802"/>
      <c r="K802"/>
      <c r="L802"/>
    </row>
    <row r="803" spans="1:12">
      <c r="A803"/>
      <c r="B803"/>
      <c r="C803"/>
      <c r="D803"/>
      <c r="E803"/>
      <c r="F803"/>
      <c r="G803"/>
      <c r="H803"/>
      <c r="I803"/>
      <c r="J803"/>
      <c r="K803"/>
      <c r="L803"/>
    </row>
    <row r="804" spans="1:12">
      <c r="A804"/>
      <c r="B804"/>
      <c r="C804"/>
      <c r="D804"/>
      <c r="E804"/>
      <c r="F804"/>
      <c r="G804"/>
      <c r="H804"/>
      <c r="I804"/>
      <c r="J804"/>
      <c r="K804"/>
      <c r="L804"/>
    </row>
    <row r="805" spans="1:12">
      <c r="A805"/>
      <c r="B805"/>
      <c r="C805"/>
      <c r="D805"/>
      <c r="E805"/>
      <c r="F805"/>
      <c r="G805"/>
      <c r="H805"/>
      <c r="I805"/>
      <c r="J805"/>
      <c r="K805"/>
      <c r="L805"/>
    </row>
    <row r="806" spans="1:12">
      <c r="A806"/>
      <c r="B806"/>
      <c r="C806"/>
      <c r="D806"/>
      <c r="E806"/>
      <c r="F806"/>
      <c r="G806"/>
      <c r="H806"/>
      <c r="I806"/>
      <c r="J806"/>
      <c r="K806"/>
      <c r="L806"/>
    </row>
    <row r="807" spans="1:12">
      <c r="A807"/>
      <c r="B807"/>
      <c r="C807"/>
      <c r="D807"/>
      <c r="E807"/>
      <c r="F807"/>
      <c r="G807"/>
      <c r="H807"/>
      <c r="I807"/>
      <c r="J807"/>
      <c r="K807"/>
      <c r="L807"/>
    </row>
    <row r="808" spans="1:12">
      <c r="A808"/>
      <c r="B808"/>
      <c r="C808"/>
      <c r="D808"/>
      <c r="E808"/>
      <c r="F808"/>
      <c r="G808"/>
      <c r="H808"/>
      <c r="I808"/>
      <c r="J808"/>
      <c r="K808"/>
      <c r="L808"/>
    </row>
    <row r="809" spans="1:12">
      <c r="A809"/>
      <c r="B809"/>
      <c r="C809"/>
      <c r="D809"/>
      <c r="E809"/>
      <c r="F809"/>
      <c r="G809"/>
      <c r="H809"/>
      <c r="I809"/>
      <c r="J809"/>
      <c r="K809"/>
      <c r="L809"/>
    </row>
    <row r="810" spans="1:12">
      <c r="A810"/>
      <c r="B810"/>
      <c r="C810"/>
      <c r="D810"/>
      <c r="E810"/>
      <c r="F810"/>
      <c r="G810"/>
      <c r="H810"/>
      <c r="I810"/>
      <c r="J810"/>
      <c r="K810"/>
      <c r="L810"/>
    </row>
    <row r="811" spans="1:12">
      <c r="A811"/>
      <c r="B811"/>
      <c r="C811"/>
      <c r="D811"/>
      <c r="E811"/>
      <c r="F811"/>
      <c r="G811"/>
      <c r="H811"/>
      <c r="I811"/>
      <c r="J811"/>
      <c r="K811"/>
      <c r="L811"/>
    </row>
    <row r="812" spans="1:12">
      <c r="A812"/>
      <c r="B812"/>
      <c r="C812"/>
      <c r="D812"/>
      <c r="E812"/>
      <c r="F812"/>
      <c r="G812"/>
      <c r="H812"/>
      <c r="I812"/>
      <c r="J812"/>
      <c r="K812"/>
      <c r="L812"/>
    </row>
    <row r="813" spans="1:12">
      <c r="A813"/>
      <c r="B813"/>
      <c r="C813"/>
      <c r="D813"/>
      <c r="E813"/>
      <c r="F813"/>
      <c r="G813"/>
      <c r="H813"/>
      <c r="I813"/>
      <c r="J813"/>
      <c r="K813"/>
      <c r="L813"/>
    </row>
    <row r="814" spans="1:12">
      <c r="A814"/>
      <c r="B814"/>
      <c r="C814"/>
      <c r="D814"/>
      <c r="E814"/>
      <c r="F814"/>
      <c r="G814"/>
      <c r="H814"/>
      <c r="I814"/>
      <c r="J814"/>
      <c r="K814"/>
      <c r="L814"/>
    </row>
    <row r="815" spans="1:12">
      <c r="A815"/>
      <c r="B815"/>
      <c r="C815"/>
      <c r="D815"/>
      <c r="E815"/>
      <c r="F815"/>
      <c r="G815"/>
      <c r="H815"/>
      <c r="I815"/>
      <c r="J815"/>
      <c r="K815"/>
      <c r="L815"/>
    </row>
    <row r="816" spans="1:12">
      <c r="A816"/>
      <c r="B816"/>
      <c r="C816"/>
      <c r="D816"/>
      <c r="E816"/>
      <c r="F816"/>
      <c r="G816"/>
      <c r="H816"/>
      <c r="I816"/>
      <c r="J816"/>
      <c r="K816"/>
      <c r="L816"/>
    </row>
    <row r="817" spans="1:12">
      <c r="A817"/>
      <c r="B817"/>
      <c r="C817"/>
      <c r="D817"/>
      <c r="E817"/>
      <c r="F817"/>
      <c r="G817"/>
      <c r="H817"/>
      <c r="I817"/>
      <c r="J817"/>
      <c r="K817"/>
      <c r="L817"/>
    </row>
    <row r="818" spans="1:12">
      <c r="A818"/>
      <c r="B818"/>
      <c r="C818"/>
      <c r="D818"/>
      <c r="E818"/>
      <c r="F818"/>
      <c r="G818"/>
      <c r="H818"/>
      <c r="I818"/>
      <c r="J818"/>
      <c r="K818"/>
      <c r="L818"/>
    </row>
    <row r="819" spans="1:12">
      <c r="A819"/>
      <c r="B819"/>
      <c r="C819"/>
      <c r="D819"/>
      <c r="E819"/>
      <c r="F819"/>
      <c r="G819"/>
      <c r="H819"/>
      <c r="I819"/>
      <c r="J819"/>
      <c r="K819"/>
      <c r="L819"/>
    </row>
    <row r="820" spans="1:12">
      <c r="A820"/>
      <c r="B820"/>
      <c r="C820"/>
      <c r="D820"/>
      <c r="E820"/>
      <c r="F820"/>
      <c r="G820"/>
      <c r="H820"/>
      <c r="I820"/>
      <c r="J820"/>
      <c r="K820"/>
      <c r="L820"/>
    </row>
    <row r="821" spans="1:12">
      <c r="A821"/>
      <c r="B821"/>
      <c r="C821"/>
      <c r="D821"/>
      <c r="E821"/>
      <c r="F821"/>
      <c r="G821"/>
      <c r="H821"/>
      <c r="I821"/>
      <c r="J821"/>
      <c r="K821"/>
      <c r="L821"/>
    </row>
    <row r="822" spans="1:12">
      <c r="A822"/>
      <c r="B822"/>
      <c r="C822"/>
      <c r="D822"/>
      <c r="E822"/>
      <c r="F822"/>
      <c r="G822"/>
      <c r="H822"/>
      <c r="I822"/>
      <c r="J822"/>
      <c r="K822"/>
      <c r="L822"/>
    </row>
    <row r="823" spans="1:12">
      <c r="A823"/>
      <c r="B823"/>
      <c r="C823"/>
      <c r="D823"/>
      <c r="E823"/>
      <c r="F823"/>
      <c r="G823"/>
      <c r="H823"/>
      <c r="I823"/>
      <c r="J823"/>
      <c r="K823"/>
      <c r="L823"/>
    </row>
    <row r="824" spans="1:12">
      <c r="A824"/>
      <c r="B824"/>
      <c r="C824"/>
      <c r="D824"/>
      <c r="E824"/>
      <c r="F824"/>
      <c r="G824"/>
      <c r="H824"/>
      <c r="I824"/>
      <c r="J824"/>
      <c r="K824"/>
      <c r="L824"/>
    </row>
    <row r="825" spans="1:12">
      <c r="A825"/>
      <c r="B825"/>
      <c r="C825"/>
      <c r="D825"/>
      <c r="E825"/>
      <c r="F825"/>
      <c r="G825"/>
      <c r="H825"/>
      <c r="I825"/>
      <c r="J825"/>
      <c r="K825"/>
      <c r="L825"/>
    </row>
    <row r="826" spans="1:12">
      <c r="A826"/>
      <c r="B826"/>
      <c r="C826"/>
      <c r="D826"/>
      <c r="E826"/>
      <c r="F826"/>
      <c r="G826"/>
      <c r="H826"/>
      <c r="I826"/>
      <c r="J826"/>
      <c r="K826"/>
      <c r="L826"/>
    </row>
    <row r="827" spans="1:12">
      <c r="A827"/>
      <c r="B827"/>
      <c r="C827"/>
      <c r="D827"/>
      <c r="E827"/>
      <c r="F827"/>
      <c r="G827"/>
      <c r="H827"/>
      <c r="I827"/>
      <c r="J827"/>
      <c r="K827"/>
      <c r="L827"/>
    </row>
    <row r="828" spans="1:12">
      <c r="A828"/>
      <c r="B828"/>
      <c r="C828"/>
      <c r="D828"/>
      <c r="E828"/>
      <c r="F828"/>
      <c r="G828"/>
      <c r="H828"/>
      <c r="I828"/>
      <c r="J828"/>
      <c r="K828"/>
      <c r="L828"/>
    </row>
    <row r="829" spans="1:12">
      <c r="A829"/>
      <c r="B829"/>
      <c r="C829"/>
      <c r="D829"/>
      <c r="E829"/>
      <c r="F829"/>
      <c r="G829"/>
      <c r="H829"/>
      <c r="I829"/>
      <c r="J829"/>
      <c r="K829"/>
      <c r="L829"/>
    </row>
    <row r="830" spans="1:12">
      <c r="A830"/>
      <c r="B830"/>
      <c r="C830"/>
      <c r="D830"/>
      <c r="E830"/>
      <c r="F830"/>
      <c r="G830"/>
      <c r="H830"/>
      <c r="I830"/>
      <c r="J830"/>
      <c r="K830"/>
      <c r="L830"/>
    </row>
    <row r="831" spans="1:12">
      <c r="A831"/>
      <c r="B831"/>
      <c r="C831"/>
      <c r="D831"/>
      <c r="E831"/>
      <c r="F831"/>
      <c r="G831"/>
      <c r="H831"/>
      <c r="I831"/>
      <c r="J831"/>
      <c r="K831"/>
      <c r="L831"/>
    </row>
    <row r="832" spans="1:12">
      <c r="A832"/>
      <c r="B832"/>
      <c r="C832"/>
      <c r="D832"/>
      <c r="E832"/>
      <c r="F832"/>
      <c r="G832"/>
      <c r="H832"/>
      <c r="I832"/>
      <c r="J832"/>
      <c r="K832"/>
      <c r="L832"/>
    </row>
    <row r="833" spans="1:12">
      <c r="A833"/>
      <c r="B833"/>
      <c r="C833"/>
      <c r="D833"/>
      <c r="E833"/>
      <c r="F833"/>
      <c r="G833"/>
      <c r="H833"/>
      <c r="I833"/>
      <c r="J833"/>
      <c r="K833"/>
      <c r="L833"/>
    </row>
    <row r="834" spans="1:12">
      <c r="A834"/>
      <c r="B834"/>
      <c r="C834"/>
      <c r="D834"/>
      <c r="E834"/>
      <c r="F834"/>
      <c r="G834"/>
      <c r="H834"/>
      <c r="I834"/>
      <c r="J834"/>
      <c r="K834"/>
      <c r="L834"/>
    </row>
    <row r="835" spans="1:12">
      <c r="A835"/>
      <c r="B835"/>
      <c r="C835"/>
      <c r="D835"/>
      <c r="E835"/>
      <c r="F835"/>
      <c r="G835"/>
      <c r="H835"/>
      <c r="I835"/>
      <c r="J835"/>
      <c r="K835"/>
      <c r="L835"/>
    </row>
    <row r="836" spans="1:12">
      <c r="A836"/>
      <c r="B836"/>
      <c r="C836"/>
      <c r="D836"/>
      <c r="E836"/>
      <c r="F836"/>
      <c r="G836"/>
      <c r="H836"/>
      <c r="I836"/>
      <c r="J836"/>
      <c r="K836"/>
      <c r="L836"/>
    </row>
    <row r="837" spans="1:12">
      <c r="A837"/>
      <c r="B837"/>
      <c r="C837"/>
      <c r="D837"/>
      <c r="E837"/>
      <c r="F837"/>
      <c r="G837"/>
      <c r="H837"/>
      <c r="I837"/>
      <c r="J837"/>
      <c r="K837"/>
      <c r="L837"/>
    </row>
    <row r="838" spans="1:12">
      <c r="A838"/>
      <c r="B838"/>
      <c r="C838"/>
      <c r="D838"/>
      <c r="E838"/>
      <c r="F838"/>
      <c r="G838"/>
      <c r="H838"/>
      <c r="I838"/>
      <c r="J838"/>
      <c r="K838"/>
      <c r="L838"/>
    </row>
    <row r="839" spans="1:12">
      <c r="A839"/>
      <c r="B839"/>
      <c r="C839"/>
      <c r="D839"/>
      <c r="E839"/>
      <c r="F839"/>
      <c r="G839"/>
      <c r="H839"/>
      <c r="I839"/>
      <c r="J839"/>
      <c r="K839"/>
      <c r="L839"/>
    </row>
    <row r="840" spans="1:12">
      <c r="A840"/>
      <c r="B840"/>
      <c r="C840"/>
      <c r="D840"/>
      <c r="E840"/>
      <c r="F840"/>
      <c r="G840"/>
      <c r="H840"/>
      <c r="I840"/>
      <c r="J840"/>
      <c r="K840"/>
      <c r="L840"/>
    </row>
    <row r="841" spans="1:12">
      <c r="A841"/>
      <c r="B841"/>
      <c r="C841"/>
      <c r="D841"/>
      <c r="E841"/>
      <c r="F841"/>
      <c r="G841"/>
      <c r="H841"/>
      <c r="I841"/>
      <c r="J841"/>
      <c r="K841"/>
      <c r="L841"/>
    </row>
    <row r="842" spans="1:12">
      <c r="A842"/>
      <c r="B842"/>
      <c r="C842"/>
      <c r="D842"/>
      <c r="E842"/>
      <c r="F842"/>
      <c r="G842"/>
      <c r="H842"/>
      <c r="I842"/>
      <c r="J842"/>
      <c r="K842"/>
      <c r="L842"/>
    </row>
    <row r="843" spans="1:12">
      <c r="A843"/>
      <c r="B843"/>
      <c r="C843"/>
      <c r="D843"/>
      <c r="E843"/>
      <c r="F843"/>
      <c r="G843"/>
      <c r="H843"/>
      <c r="I843"/>
      <c r="J843"/>
      <c r="K843"/>
      <c r="L843"/>
    </row>
    <row r="844" spans="1:12">
      <c r="A844"/>
      <c r="B844"/>
      <c r="C844"/>
      <c r="D844"/>
      <c r="E844"/>
      <c r="F844"/>
      <c r="G844"/>
      <c r="H844"/>
      <c r="I844"/>
      <c r="J844"/>
      <c r="K844"/>
      <c r="L844"/>
    </row>
    <row r="845" spans="1:12">
      <c r="A845"/>
      <c r="B845"/>
      <c r="C845"/>
      <c r="D845"/>
      <c r="E845"/>
      <c r="F845"/>
      <c r="G845"/>
      <c r="H845"/>
      <c r="I845"/>
      <c r="J845"/>
      <c r="K845"/>
      <c r="L845"/>
    </row>
    <row r="846" spans="1:12">
      <c r="A846"/>
      <c r="B846"/>
      <c r="C846"/>
      <c r="D846"/>
      <c r="E846"/>
      <c r="F846"/>
      <c r="G846"/>
      <c r="H846"/>
      <c r="I846"/>
      <c r="J846"/>
      <c r="K846"/>
      <c r="L846"/>
    </row>
    <row r="847" spans="1:12">
      <c r="A847"/>
      <c r="B847"/>
      <c r="C847"/>
      <c r="D847"/>
      <c r="E847"/>
      <c r="F847"/>
      <c r="G847"/>
      <c r="H847"/>
      <c r="I847"/>
      <c r="J847"/>
      <c r="K847"/>
      <c r="L847"/>
    </row>
    <row r="848" spans="1:12">
      <c r="A848"/>
      <c r="B848"/>
      <c r="C848"/>
      <c r="D848"/>
      <c r="E848"/>
      <c r="F848"/>
      <c r="G848"/>
      <c r="H848"/>
      <c r="I848"/>
      <c r="J848"/>
      <c r="K848"/>
      <c r="L848"/>
    </row>
    <row r="849" spans="1:12">
      <c r="A849"/>
      <c r="B849"/>
      <c r="C849"/>
      <c r="D849"/>
      <c r="E849"/>
      <c r="F849"/>
      <c r="G849"/>
      <c r="H849"/>
      <c r="I849"/>
      <c r="J849"/>
      <c r="K849"/>
      <c r="L849"/>
    </row>
    <row r="850" spans="1:12">
      <c r="A850"/>
      <c r="B850"/>
      <c r="C850"/>
      <c r="D850"/>
      <c r="E850"/>
      <c r="F850"/>
      <c r="G850"/>
      <c r="H850"/>
      <c r="I850"/>
      <c r="J850"/>
      <c r="K850"/>
      <c r="L850"/>
    </row>
    <row r="851" spans="1:12">
      <c r="A851"/>
      <c r="B851"/>
      <c r="C851"/>
      <c r="D851"/>
      <c r="E851"/>
      <c r="F851"/>
      <c r="G851"/>
      <c r="H851"/>
      <c r="I851"/>
      <c r="J851"/>
      <c r="K851"/>
      <c r="L851"/>
    </row>
    <row r="852" spans="1:12">
      <c r="A852"/>
      <c r="B852"/>
      <c r="C852"/>
      <c r="D852"/>
      <c r="E852"/>
      <c r="F852"/>
      <c r="G852"/>
      <c r="H852"/>
      <c r="I852"/>
      <c r="J852"/>
      <c r="K852"/>
      <c r="L852"/>
    </row>
    <row r="853" spans="1:12">
      <c r="A853"/>
      <c r="B853"/>
      <c r="C853"/>
      <c r="D853"/>
      <c r="E853"/>
      <c r="F853"/>
      <c r="G853"/>
      <c r="H853"/>
      <c r="I853"/>
      <c r="J853"/>
      <c r="K853"/>
      <c r="L853"/>
    </row>
    <row r="854" spans="1:12">
      <c r="A854"/>
      <c r="B854"/>
      <c r="C854"/>
      <c r="D854"/>
      <c r="E854"/>
      <c r="F854"/>
      <c r="G854"/>
      <c r="H854"/>
      <c r="I854"/>
      <c r="J854"/>
      <c r="K854"/>
      <c r="L854"/>
    </row>
    <row r="855" spans="1:12">
      <c r="A855"/>
      <c r="B855"/>
      <c r="C855"/>
      <c r="D855"/>
      <c r="E855"/>
      <c r="F855"/>
      <c r="G855"/>
      <c r="H855"/>
      <c r="I855"/>
      <c r="J855"/>
      <c r="K855"/>
      <c r="L855"/>
    </row>
    <row r="856" spans="1:12">
      <c r="A856"/>
      <c r="B856"/>
      <c r="C856"/>
      <c r="D856"/>
      <c r="E856"/>
      <c r="F856"/>
      <c r="G856"/>
      <c r="H856"/>
      <c r="I856"/>
      <c r="J856"/>
      <c r="K856"/>
      <c r="L856"/>
    </row>
    <row r="857" spans="1:12">
      <c r="A857"/>
      <c r="B857"/>
      <c r="C857"/>
      <c r="D857"/>
      <c r="E857"/>
      <c r="F857"/>
      <c r="G857"/>
      <c r="H857"/>
      <c r="I857"/>
      <c r="J857"/>
      <c r="K857"/>
      <c r="L857"/>
    </row>
    <row r="858" spans="1:12">
      <c r="A858"/>
      <c r="B858"/>
      <c r="C858"/>
      <c r="D858"/>
      <c r="E858"/>
      <c r="F858"/>
      <c r="G858"/>
      <c r="H858"/>
      <c r="I858"/>
      <c r="J858"/>
      <c r="K858"/>
      <c r="L858"/>
    </row>
    <row r="859" spans="1:12">
      <c r="A859"/>
      <c r="B859"/>
      <c r="C859"/>
      <c r="D859"/>
      <c r="E859"/>
      <c r="F859"/>
      <c r="G859"/>
      <c r="H859"/>
      <c r="I859"/>
      <c r="J859"/>
      <c r="K859"/>
      <c r="L859"/>
    </row>
    <row r="860" spans="1:12">
      <c r="A860"/>
      <c r="B860"/>
      <c r="C860"/>
      <c r="D860"/>
      <c r="E860"/>
      <c r="F860"/>
      <c r="G860"/>
      <c r="H860"/>
      <c r="I860"/>
      <c r="J860"/>
      <c r="K860"/>
      <c r="L860"/>
    </row>
    <row r="861" spans="1:12">
      <c r="A861"/>
      <c r="B861"/>
      <c r="C861"/>
      <c r="D861"/>
      <c r="E861"/>
      <c r="F861"/>
      <c r="G861"/>
      <c r="H861"/>
      <c r="I861"/>
      <c r="J861"/>
      <c r="K861"/>
      <c r="L861"/>
    </row>
    <row r="862" spans="1:12">
      <c r="A862"/>
      <c r="B862"/>
      <c r="C862"/>
      <c r="D862"/>
      <c r="E862"/>
      <c r="F862"/>
      <c r="G862"/>
      <c r="H862"/>
      <c r="I862"/>
      <c r="J862"/>
      <c r="K862"/>
      <c r="L862"/>
    </row>
    <row r="863" spans="1:12">
      <c r="A863"/>
      <c r="B863"/>
      <c r="C863"/>
      <c r="D863"/>
      <c r="E863"/>
      <c r="F863"/>
      <c r="G863"/>
      <c r="H863"/>
      <c r="I863"/>
      <c r="J863"/>
      <c r="K863"/>
      <c r="L863"/>
    </row>
    <row r="864" spans="1:12">
      <c r="A864"/>
      <c r="B864"/>
      <c r="C864"/>
      <c r="D864"/>
      <c r="E864"/>
      <c r="F864"/>
      <c r="G864"/>
      <c r="H864"/>
      <c r="I864"/>
      <c r="J864"/>
      <c r="K864"/>
      <c r="L864"/>
    </row>
    <row r="865" spans="1:12">
      <c r="A865"/>
      <c r="B865"/>
      <c r="C865"/>
      <c r="D865"/>
      <c r="E865"/>
      <c r="F865"/>
      <c r="G865"/>
      <c r="H865"/>
      <c r="I865"/>
      <c r="J865"/>
      <c r="K865"/>
      <c r="L865"/>
    </row>
  </sheetData>
  <mergeCells count="23">
    <mergeCell ref="A3:L3"/>
    <mergeCell ref="B14:C14"/>
    <mergeCell ref="B15:C15"/>
    <mergeCell ref="B16:C16"/>
    <mergeCell ref="B17:C17"/>
    <mergeCell ref="B27:L27"/>
    <mergeCell ref="B30:C30"/>
    <mergeCell ref="B33:C33"/>
    <mergeCell ref="B34:C34"/>
    <mergeCell ref="B35:C35"/>
    <mergeCell ref="B47:C47"/>
    <mergeCell ref="B48:C48"/>
    <mergeCell ref="B43:C43"/>
    <mergeCell ref="B36:C36"/>
    <mergeCell ref="B37:C37"/>
    <mergeCell ref="B44:C44"/>
    <mergeCell ref="B45:C45"/>
    <mergeCell ref="B46:C46"/>
    <mergeCell ref="B38:C38"/>
    <mergeCell ref="B39:C39"/>
    <mergeCell ref="B40:C40"/>
    <mergeCell ref="B41:C41"/>
    <mergeCell ref="B42:C42"/>
  </mergeCells>
  <pageMargins left="0.7" right="0.7" top="0.75" bottom="0.75" header="0.3" footer="0.3"/>
  <pageSetup orientation="portrait" horizontalDpi="0"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EA889-B3C8-4102-9F74-BB1D67739DC2}">
  <dimension ref="A1:O74"/>
  <sheetViews>
    <sheetView zoomScaleNormal="100" workbookViewId="0">
      <selection activeCell="B38" sqref="B38"/>
    </sheetView>
  </sheetViews>
  <sheetFormatPr defaultColWidth="8.88671875" defaultRowHeight="15.6"/>
  <cols>
    <col min="1" max="1" width="8.88671875" style="1"/>
    <col min="2" max="11" width="14.5546875" style="1" customWidth="1"/>
    <col min="12" max="12" width="10.44140625" style="1" customWidth="1"/>
    <col min="13" max="13" width="13.33203125" style="1" bestFit="1" customWidth="1"/>
    <col min="14" max="14" width="8.88671875" style="1"/>
    <col min="16" max="16" width="18.33203125" style="1" bestFit="1" customWidth="1"/>
    <col min="17" max="17" width="10.33203125" style="1" customWidth="1"/>
    <col min="18" max="18" width="10.5546875" style="1" customWidth="1"/>
    <col min="19" max="16384" width="8.88671875" style="1"/>
  </cols>
  <sheetData>
    <row r="1" spans="1:15" ht="18">
      <c r="A1" s="23" t="s">
        <v>1472</v>
      </c>
      <c r="B1" s="22"/>
      <c r="C1" s="5" t="s">
        <v>38</v>
      </c>
      <c r="D1" s="22"/>
      <c r="E1" s="22"/>
      <c r="F1" s="22"/>
      <c r="G1" s="22"/>
      <c r="H1" s="22"/>
      <c r="I1" s="22"/>
      <c r="J1" s="22"/>
      <c r="K1" s="2"/>
      <c r="L1" s="2"/>
      <c r="M1" s="2"/>
      <c r="O1" s="1"/>
    </row>
    <row r="2" spans="1:15" ht="16.2">
      <c r="A2" s="21"/>
      <c r="B2" s="3"/>
      <c r="C2" s="3"/>
      <c r="D2" s="3"/>
      <c r="E2" s="3"/>
      <c r="F2" s="3"/>
      <c r="G2" s="3"/>
      <c r="H2" s="19"/>
      <c r="I2" s="19"/>
      <c r="J2" s="4"/>
      <c r="K2" s="4"/>
      <c r="L2" s="4"/>
      <c r="M2" s="2"/>
      <c r="O2" s="1"/>
    </row>
    <row r="3" spans="1:15" ht="31.2" customHeight="1">
      <c r="A3" s="1733" t="s">
        <v>2219</v>
      </c>
      <c r="B3" s="1733"/>
      <c r="C3" s="1733"/>
      <c r="D3" s="1733"/>
      <c r="E3" s="1733"/>
      <c r="F3" s="1733"/>
      <c r="G3" s="1733"/>
      <c r="H3" s="1733"/>
      <c r="I3" s="1733"/>
      <c r="J3" s="1733"/>
      <c r="K3" s="1733"/>
      <c r="L3" s="2"/>
      <c r="M3" s="2"/>
      <c r="O3" s="1"/>
    </row>
    <row r="4" spans="1:15" ht="16.2">
      <c r="A4" s="5"/>
      <c r="B4" s="3"/>
      <c r="C4" s="3"/>
      <c r="D4" s="3"/>
      <c r="E4" s="3"/>
      <c r="F4" s="3"/>
      <c r="G4" s="2"/>
      <c r="H4" s="2"/>
      <c r="I4" s="2"/>
      <c r="J4" s="2"/>
      <c r="K4" s="2"/>
      <c r="L4" s="2"/>
      <c r="M4" s="2"/>
      <c r="O4" s="1"/>
    </row>
    <row r="5" spans="1:15">
      <c r="A5" s="1284"/>
      <c r="B5" s="1734" t="s">
        <v>1967</v>
      </c>
      <c r="C5" s="1734" t="s">
        <v>1966</v>
      </c>
      <c r="D5" s="1734" t="s">
        <v>2217</v>
      </c>
      <c r="E5" s="1284"/>
      <c r="F5" s="1284"/>
      <c r="G5" s="2"/>
      <c r="H5" s="84" t="s">
        <v>1907</v>
      </c>
      <c r="I5" s="2"/>
      <c r="J5" s="2"/>
      <c r="K5" s="2"/>
      <c r="L5" s="2"/>
      <c r="M5" s="2"/>
      <c r="O5" s="1"/>
    </row>
    <row r="6" spans="1:15">
      <c r="A6" s="163"/>
      <c r="B6" s="1735"/>
      <c r="C6" s="1735"/>
      <c r="D6" s="1735"/>
      <c r="E6" s="163"/>
      <c r="F6" s="74"/>
      <c r="G6" s="2"/>
      <c r="H6" s="1319">
        <v>3000000</v>
      </c>
      <c r="I6" s="2"/>
      <c r="J6" s="2"/>
      <c r="K6" s="2"/>
      <c r="L6" s="2"/>
      <c r="M6" s="2"/>
      <c r="O6" s="1"/>
    </row>
    <row r="7" spans="1:15">
      <c r="A7" s="163"/>
      <c r="B7" s="1321">
        <v>3000000</v>
      </c>
      <c r="C7" s="1320">
        <v>0</v>
      </c>
      <c r="D7" s="1319">
        <v>1000000</v>
      </c>
      <c r="E7" s="163"/>
      <c r="F7" s="74"/>
      <c r="G7" s="2"/>
      <c r="H7" s="11" t="s">
        <v>2218</v>
      </c>
      <c r="I7" s="2"/>
      <c r="J7" s="2"/>
      <c r="K7" s="2"/>
      <c r="L7" s="2"/>
      <c r="M7" s="2"/>
      <c r="O7" s="1"/>
    </row>
    <row r="8" spans="1:15">
      <c r="A8" s="163"/>
      <c r="B8" s="1321">
        <v>4000000</v>
      </c>
      <c r="C8" s="1320">
        <v>0</v>
      </c>
      <c r="D8" s="1319">
        <v>2000000</v>
      </c>
      <c r="E8" s="163"/>
      <c r="F8" s="74"/>
      <c r="G8" s="2"/>
      <c r="H8" s="1319">
        <v>1000000</v>
      </c>
      <c r="I8" s="2"/>
      <c r="J8" s="2"/>
      <c r="K8" s="2"/>
      <c r="L8" s="2"/>
      <c r="M8" s="2"/>
      <c r="O8" s="1"/>
    </row>
    <row r="9" spans="1:15">
      <c r="A9" s="163"/>
      <c r="B9" s="1321">
        <v>5000000</v>
      </c>
      <c r="C9" s="1319">
        <v>1000000</v>
      </c>
      <c r="D9" s="1319">
        <v>3000000</v>
      </c>
      <c r="E9" s="163"/>
      <c r="F9" s="74"/>
      <c r="G9" s="2"/>
      <c r="H9" s="2"/>
      <c r="I9" s="2"/>
      <c r="J9" s="2"/>
      <c r="K9" s="2"/>
      <c r="L9" s="2"/>
      <c r="M9" s="2"/>
      <c r="O9" s="1"/>
    </row>
    <row r="10" spans="1:15">
      <c r="A10" s="163"/>
      <c r="B10" s="1321">
        <v>2000000</v>
      </c>
      <c r="C10" s="1319">
        <v>1000000</v>
      </c>
      <c r="D10" s="1319">
        <v>2000000</v>
      </c>
      <c r="E10" s="163"/>
      <c r="F10" s="74"/>
      <c r="G10" s="2"/>
      <c r="H10" s="2"/>
      <c r="I10" s="2"/>
      <c r="J10" s="2"/>
      <c r="K10" s="2"/>
      <c r="L10" s="2"/>
      <c r="M10" s="2"/>
      <c r="O10" s="1"/>
    </row>
    <row r="11" spans="1:15">
      <c r="A11" s="163"/>
      <c r="B11" s="1321">
        <v>6000000</v>
      </c>
      <c r="C11" s="1320">
        <v>0</v>
      </c>
      <c r="D11" s="1319">
        <v>5000000</v>
      </c>
      <c r="E11" s="163"/>
      <c r="F11" s="74"/>
      <c r="G11" s="2"/>
      <c r="H11" s="2"/>
      <c r="I11" s="2"/>
      <c r="J11" s="2"/>
      <c r="K11" s="2"/>
      <c r="L11" s="2"/>
      <c r="M11" s="2"/>
      <c r="O11" s="1"/>
    </row>
    <row r="12" spans="1:15">
      <c r="A12" s="2"/>
      <c r="B12" s="163"/>
      <c r="C12" s="746"/>
      <c r="D12" s="3"/>
      <c r="E12" s="3"/>
      <c r="F12" s="3"/>
      <c r="G12" s="3"/>
      <c r="H12" s="3"/>
      <c r="I12" s="2"/>
      <c r="J12" s="2"/>
      <c r="K12" s="2"/>
      <c r="L12" s="2"/>
      <c r="M12" s="2"/>
      <c r="O12" s="1"/>
    </row>
    <row r="13" spans="1:15">
      <c r="A13" s="2"/>
      <c r="B13" s="1734" t="s">
        <v>2217</v>
      </c>
      <c r="C13" s="1734" t="s">
        <v>2216</v>
      </c>
      <c r="D13" s="3"/>
      <c r="E13" s="3"/>
      <c r="F13" s="3"/>
      <c r="G13" s="3"/>
      <c r="H13" s="3"/>
      <c r="I13" s="2"/>
      <c r="J13" s="2"/>
      <c r="K13" s="2"/>
      <c r="L13" s="2"/>
      <c r="M13" s="2"/>
      <c r="O13" s="1"/>
    </row>
    <row r="14" spans="1:15">
      <c r="A14" s="2"/>
      <c r="B14" s="1735"/>
      <c r="C14" s="1735"/>
      <c r="D14" s="3"/>
      <c r="E14" s="3"/>
      <c r="F14" s="3"/>
      <c r="G14" s="3"/>
      <c r="H14" s="3"/>
      <c r="I14" s="2"/>
      <c r="J14" s="2"/>
      <c r="K14" s="2"/>
      <c r="L14" s="2"/>
      <c r="M14" s="2"/>
      <c r="O14" s="1"/>
    </row>
    <row r="15" spans="1:15">
      <c r="A15" s="2"/>
      <c r="B15" s="1319">
        <v>1000000</v>
      </c>
      <c r="C15" s="1318">
        <v>1</v>
      </c>
      <c r="D15" s="3"/>
      <c r="E15" s="3"/>
      <c r="F15" s="3"/>
      <c r="G15" s="3"/>
      <c r="H15" s="3"/>
      <c r="I15" s="2"/>
      <c r="J15" s="2"/>
      <c r="K15" s="2"/>
      <c r="L15" s="2"/>
      <c r="M15" s="2"/>
      <c r="O15" s="1"/>
    </row>
    <row r="16" spans="1:15">
      <c r="A16" s="2"/>
      <c r="B16" s="1319">
        <v>2000000</v>
      </c>
      <c r="C16" s="1318">
        <v>1.1599999999999999</v>
      </c>
      <c r="D16" s="3"/>
      <c r="E16" s="3"/>
      <c r="F16" s="3"/>
      <c r="G16" s="3"/>
      <c r="H16" s="3"/>
      <c r="I16" s="2"/>
      <c r="J16" s="2"/>
      <c r="K16" s="2"/>
      <c r="L16" s="2"/>
      <c r="M16" s="2"/>
      <c r="O16" s="1"/>
    </row>
    <row r="17" spans="1:15">
      <c r="A17" s="2"/>
      <c r="B17" s="1319">
        <v>3000000</v>
      </c>
      <c r="C17" s="1318">
        <v>1.28</v>
      </c>
      <c r="D17" s="3"/>
      <c r="E17" s="3"/>
      <c r="F17" s="3"/>
      <c r="G17" s="3"/>
      <c r="H17" s="3"/>
      <c r="I17" s="2"/>
      <c r="J17" s="2"/>
      <c r="K17" s="2"/>
      <c r="L17" s="2"/>
      <c r="M17" s="2"/>
      <c r="O17" s="1"/>
    </row>
    <row r="18" spans="1:15">
      <c r="A18" s="2"/>
      <c r="B18" s="1319">
        <v>4000000</v>
      </c>
      <c r="C18" s="1318">
        <v>1.38</v>
      </c>
      <c r="D18" s="3"/>
      <c r="E18" s="3"/>
      <c r="F18" s="3"/>
      <c r="G18" s="3"/>
      <c r="H18" s="3"/>
      <c r="I18" s="2"/>
      <c r="J18" s="2"/>
      <c r="K18" s="2"/>
      <c r="L18" s="2"/>
      <c r="M18" s="2"/>
      <c r="O18" s="1"/>
    </row>
    <row r="19" spans="1:15">
      <c r="A19" s="2"/>
      <c r="B19" s="1319">
        <v>5000000</v>
      </c>
      <c r="C19" s="1318">
        <v>1.46</v>
      </c>
      <c r="D19" s="3"/>
      <c r="E19" s="3"/>
      <c r="F19" s="3"/>
      <c r="G19" s="3"/>
      <c r="H19" s="3"/>
      <c r="I19" s="2"/>
      <c r="J19" s="2"/>
      <c r="K19" s="2"/>
      <c r="L19" s="2"/>
      <c r="M19" s="2"/>
      <c r="O19" s="1"/>
    </row>
    <row r="20" spans="1:15">
      <c r="A20" s="2"/>
      <c r="B20" s="163"/>
      <c r="C20" s="746"/>
      <c r="D20" s="3"/>
      <c r="E20" s="3"/>
      <c r="F20" s="3"/>
      <c r="G20" s="3"/>
      <c r="H20" s="3"/>
      <c r="I20" s="2"/>
      <c r="J20" s="2"/>
      <c r="K20" s="2"/>
      <c r="L20" s="2"/>
      <c r="M20" s="2"/>
      <c r="O20" s="1"/>
    </row>
    <row r="21" spans="1:15">
      <c r="A21" s="3" t="s">
        <v>2215</v>
      </c>
      <c r="B21" s="163"/>
      <c r="C21" s="746"/>
      <c r="D21" s="3"/>
      <c r="E21" s="3"/>
      <c r="F21" s="3"/>
      <c r="G21" s="3"/>
      <c r="H21" s="3"/>
      <c r="I21" s="2"/>
      <c r="J21" s="2"/>
      <c r="K21" s="2"/>
      <c r="L21" s="2"/>
      <c r="M21" s="2"/>
      <c r="O21" s="1"/>
    </row>
    <row r="22" spans="1:15">
      <c r="A22" s="2"/>
      <c r="B22" s="163"/>
      <c r="C22" s="746"/>
      <c r="D22" s="3"/>
      <c r="E22" s="3"/>
      <c r="F22" s="3"/>
      <c r="G22" s="3"/>
      <c r="H22" s="3"/>
      <c r="I22" s="2"/>
      <c r="J22" s="2"/>
      <c r="K22" s="2"/>
      <c r="L22" s="2"/>
      <c r="M22" s="2"/>
      <c r="O22" s="1"/>
    </row>
    <row r="23" spans="1:15">
      <c r="A23" s="3" t="s">
        <v>80</v>
      </c>
      <c r="B23" s="3" t="s">
        <v>2214</v>
      </c>
      <c r="C23" s="3"/>
      <c r="D23" s="3"/>
      <c r="E23" s="3"/>
      <c r="F23" s="3"/>
      <c r="G23" s="3"/>
      <c r="H23" s="3"/>
      <c r="I23" s="2"/>
      <c r="J23" s="2"/>
      <c r="K23" s="2"/>
      <c r="L23" s="2"/>
      <c r="M23" s="2"/>
      <c r="O23" s="1"/>
    </row>
    <row r="24" spans="1:15" ht="16.2">
      <c r="A24" s="5"/>
      <c r="B24" s="5" t="s">
        <v>64</v>
      </c>
      <c r="C24" s="5"/>
      <c r="D24" s="4"/>
      <c r="E24" s="4"/>
      <c r="F24" s="3"/>
      <c r="G24" s="3"/>
      <c r="H24" s="2"/>
      <c r="I24" s="44"/>
      <c r="J24" s="2"/>
      <c r="K24" s="2"/>
      <c r="L24" s="2"/>
      <c r="M24" s="2"/>
      <c r="O24" s="1"/>
    </row>
    <row r="25" spans="1:15">
      <c r="A25" s="460"/>
      <c r="B25"/>
      <c r="C25"/>
      <c r="D25"/>
      <c r="E25"/>
      <c r="F25"/>
      <c r="G25"/>
      <c r="H25"/>
      <c r="I25"/>
      <c r="J25"/>
      <c r="K25"/>
      <c r="L25"/>
      <c r="M25"/>
      <c r="O25" s="1"/>
    </row>
    <row r="26" spans="1:15">
      <c r="A26" s="460"/>
      <c r="B26" s="1314" t="s">
        <v>2213</v>
      </c>
      <c r="C26" s="1314" t="s">
        <v>1966</v>
      </c>
      <c r="D26" s="1314" t="s">
        <v>1965</v>
      </c>
      <c r="E26" s="1314" t="s">
        <v>2212</v>
      </c>
      <c r="F26" s="1314" t="s">
        <v>2211</v>
      </c>
      <c r="G26" s="1314" t="s">
        <v>2210</v>
      </c>
      <c r="H26" s="1314" t="s">
        <v>2209</v>
      </c>
      <c r="I26" s="1314" t="s">
        <v>2208</v>
      </c>
      <c r="J26" s="1314" t="s">
        <v>2207</v>
      </c>
      <c r="K26" s="1314" t="s">
        <v>2206</v>
      </c>
      <c r="L26" s="1314" t="s">
        <v>2205</v>
      </c>
      <c r="M26" s="1314" t="s">
        <v>2204</v>
      </c>
      <c r="N26" s="1317"/>
      <c r="O26" s="1317"/>
    </row>
    <row r="27" spans="1:15">
      <c r="A27" s="460"/>
      <c r="B27" s="1081">
        <f t="shared" ref="B27:D31" si="0">B7</f>
        <v>3000000</v>
      </c>
      <c r="C27" s="1081">
        <f t="shared" si="0"/>
        <v>0</v>
      </c>
      <c r="D27" s="1081">
        <f t="shared" si="0"/>
        <v>1000000</v>
      </c>
      <c r="E27" s="1081">
        <f>C27</f>
        <v>0</v>
      </c>
      <c r="F27" s="1081">
        <f>E27+D27</f>
        <v>1000000</v>
      </c>
      <c r="G27" s="1081">
        <f>E27+$H$8</f>
        <v>1000000</v>
      </c>
      <c r="H27" s="1081">
        <f>MIN(G27+$H$6,F27)</f>
        <v>1000000</v>
      </c>
      <c r="I27" s="1316">
        <f>IF(E27&gt;0,VLOOKUP(E27,$B$15:$C$19,2),0)</f>
        <v>0</v>
      </c>
      <c r="J27" s="1316">
        <f t="shared" ref="J27:L31" si="1">VLOOKUP(F27,$B$15:$C$19,2)</f>
        <v>1</v>
      </c>
      <c r="K27" s="1316">
        <f t="shared" si="1"/>
        <v>1</v>
      </c>
      <c r="L27" s="1316">
        <f t="shared" si="1"/>
        <v>1</v>
      </c>
      <c r="M27" s="128">
        <f>(L27-K27)/(J27-I27)</f>
        <v>0</v>
      </c>
      <c r="O27" s="1"/>
    </row>
    <row r="28" spans="1:15">
      <c r="A28" s="460"/>
      <c r="B28" s="1081">
        <f t="shared" si="0"/>
        <v>4000000</v>
      </c>
      <c r="C28" s="1081">
        <f t="shared" si="0"/>
        <v>0</v>
      </c>
      <c r="D28" s="1081">
        <f t="shared" si="0"/>
        <v>2000000</v>
      </c>
      <c r="E28" s="1081">
        <f>C28</f>
        <v>0</v>
      </c>
      <c r="F28" s="1081">
        <f>E28+D28</f>
        <v>2000000</v>
      </c>
      <c r="G28" s="1081">
        <f>E28+$H$8</f>
        <v>1000000</v>
      </c>
      <c r="H28" s="1081">
        <f>MIN(G28+$H$6,F28)</f>
        <v>2000000</v>
      </c>
      <c r="I28" s="1316">
        <f>IF(E28&gt;0,VLOOKUP(E28,$B$15:$C$19,2),0)</f>
        <v>0</v>
      </c>
      <c r="J28" s="1316">
        <f t="shared" si="1"/>
        <v>1.1599999999999999</v>
      </c>
      <c r="K28" s="1316">
        <f t="shared" si="1"/>
        <v>1</v>
      </c>
      <c r="L28" s="1316">
        <f t="shared" si="1"/>
        <v>1.1599999999999999</v>
      </c>
      <c r="M28" s="128">
        <f>(L28-K28)/(J28-I28)</f>
        <v>0.13793103448275856</v>
      </c>
      <c r="O28" s="1"/>
    </row>
    <row r="29" spans="1:15">
      <c r="A29" s="460"/>
      <c r="B29" s="1081">
        <f t="shared" si="0"/>
        <v>5000000</v>
      </c>
      <c r="C29" s="1081">
        <f t="shared" si="0"/>
        <v>1000000</v>
      </c>
      <c r="D29" s="1081">
        <f t="shared" si="0"/>
        <v>3000000</v>
      </c>
      <c r="E29" s="1081">
        <f>C29</f>
        <v>1000000</v>
      </c>
      <c r="F29" s="1081">
        <f>E29+D29</f>
        <v>4000000</v>
      </c>
      <c r="G29" s="1081">
        <f>E29+$H$8</f>
        <v>2000000</v>
      </c>
      <c r="H29" s="1081">
        <f>MIN(G29+$H$6,F29)</f>
        <v>4000000</v>
      </c>
      <c r="I29" s="1316">
        <f>IF(E29&gt;0,VLOOKUP(E29,$B$15:$C$19,2),0)</f>
        <v>1</v>
      </c>
      <c r="J29" s="1316">
        <f t="shared" si="1"/>
        <v>1.38</v>
      </c>
      <c r="K29" s="1316">
        <f t="shared" si="1"/>
        <v>1.1599999999999999</v>
      </c>
      <c r="L29" s="1316">
        <f t="shared" si="1"/>
        <v>1.38</v>
      </c>
      <c r="M29" s="128">
        <f>(L29-K29)/(J29-I29)</f>
        <v>0.57894736842105277</v>
      </c>
      <c r="O29" s="1"/>
    </row>
    <row r="30" spans="1:15">
      <c r="A30" s="460"/>
      <c r="B30" s="1081">
        <f t="shared" si="0"/>
        <v>2000000</v>
      </c>
      <c r="C30" s="1081">
        <f t="shared" si="0"/>
        <v>1000000</v>
      </c>
      <c r="D30" s="1081">
        <f t="shared" si="0"/>
        <v>2000000</v>
      </c>
      <c r="E30" s="1081">
        <f>C30</f>
        <v>1000000</v>
      </c>
      <c r="F30" s="1081">
        <f>E30+D30</f>
        <v>3000000</v>
      </c>
      <c r="G30" s="1081">
        <f>E30+$H$8</f>
        <v>2000000</v>
      </c>
      <c r="H30" s="1081">
        <f>MIN(G30+$H$6,F30)</f>
        <v>3000000</v>
      </c>
      <c r="I30" s="1316">
        <f>IF(E30&gt;0,VLOOKUP(E30,$B$15:$C$19,2),0)</f>
        <v>1</v>
      </c>
      <c r="J30" s="1316">
        <f t="shared" si="1"/>
        <v>1.28</v>
      </c>
      <c r="K30" s="1316">
        <f t="shared" si="1"/>
        <v>1.1599999999999999</v>
      </c>
      <c r="L30" s="1316">
        <f t="shared" si="1"/>
        <v>1.28</v>
      </c>
      <c r="M30" s="128">
        <f>(L30-K30)/(J30-I30)</f>
        <v>0.42857142857142894</v>
      </c>
      <c r="O30" s="1"/>
    </row>
    <row r="31" spans="1:15">
      <c r="A31" s="460"/>
      <c r="B31" s="1081">
        <f t="shared" si="0"/>
        <v>6000000</v>
      </c>
      <c r="C31" s="1081">
        <f t="shared" si="0"/>
        <v>0</v>
      </c>
      <c r="D31" s="1081">
        <f t="shared" si="0"/>
        <v>5000000</v>
      </c>
      <c r="E31" s="1081">
        <f>C31</f>
        <v>0</v>
      </c>
      <c r="F31" s="1081">
        <f>E31+D31</f>
        <v>5000000</v>
      </c>
      <c r="G31" s="1081">
        <f>E31+$H$8</f>
        <v>1000000</v>
      </c>
      <c r="H31" s="1081">
        <f>MIN(G31+$H$6,F31)</f>
        <v>4000000</v>
      </c>
      <c r="I31" s="1316">
        <f>IF(E31&gt;0,VLOOKUP(E31,$B$15:$C$19,2),0)</f>
        <v>0</v>
      </c>
      <c r="J31" s="1316">
        <f t="shared" si="1"/>
        <v>1.46</v>
      </c>
      <c r="K31" s="1316">
        <f t="shared" si="1"/>
        <v>1</v>
      </c>
      <c r="L31" s="1316">
        <f t="shared" si="1"/>
        <v>1.38</v>
      </c>
      <c r="M31" s="128">
        <f>(L31-K31)/(J31-I31)</f>
        <v>0.26027397260273966</v>
      </c>
      <c r="O31" s="1"/>
    </row>
    <row r="32" spans="1:15">
      <c r="A32" s="460"/>
      <c r="B32" s="1081"/>
      <c r="C32"/>
      <c r="D32"/>
      <c r="E32"/>
      <c r="F32"/>
      <c r="G32"/>
      <c r="H32"/>
      <c r="I32"/>
      <c r="J32"/>
      <c r="K32"/>
      <c r="L32"/>
      <c r="M32"/>
      <c r="O32" s="1"/>
    </row>
    <row r="33" spans="1:15">
      <c r="A33" s="460"/>
      <c r="B33" s="1032" t="s">
        <v>2203</v>
      </c>
      <c r="C33"/>
      <c r="D33"/>
      <c r="E33"/>
      <c r="F33"/>
      <c r="G33"/>
      <c r="H33"/>
      <c r="I33"/>
      <c r="J33"/>
      <c r="K33"/>
      <c r="L33"/>
      <c r="M33"/>
      <c r="O33" s="1"/>
    </row>
    <row r="34" spans="1:15">
      <c r="A34" s="460"/>
      <c r="B34" s="1315" cm="1">
        <f t="array" ref="B34">SUMPRODUCT(M27:M31*B27:B31)*60%</f>
        <v>3519148.6036773562</v>
      </c>
      <c r="C34"/>
      <c r="D34"/>
      <c r="E34"/>
      <c r="F34"/>
      <c r="G34"/>
      <c r="H34"/>
      <c r="I34"/>
      <c r="J34"/>
      <c r="K34"/>
      <c r="L34"/>
      <c r="M34"/>
      <c r="O34" s="1"/>
    </row>
    <row r="35" spans="1:15">
      <c r="A35" s="460"/>
      <c r="B35"/>
      <c r="C35"/>
      <c r="D35"/>
      <c r="E35"/>
      <c r="F35"/>
      <c r="G35"/>
      <c r="H35"/>
      <c r="I35"/>
      <c r="J35"/>
      <c r="K35"/>
      <c r="L35"/>
      <c r="M35"/>
      <c r="O35" s="1"/>
    </row>
    <row r="36" spans="1:15">
      <c r="A36" s="3" t="s">
        <v>2202</v>
      </c>
      <c r="B36" s="163"/>
      <c r="C36" s="746"/>
      <c r="D36" s="3"/>
      <c r="E36" s="3"/>
      <c r="F36" s="3"/>
      <c r="G36" s="3"/>
      <c r="H36" s="3"/>
      <c r="I36" s="2"/>
      <c r="J36" s="2"/>
      <c r="K36" s="2"/>
      <c r="L36" s="2"/>
      <c r="M36" s="2"/>
      <c r="O36" s="1"/>
    </row>
    <row r="37" spans="1:15">
      <c r="A37" s="3"/>
      <c r="B37" s="163"/>
      <c r="C37" s="746"/>
      <c r="D37" s="3"/>
      <c r="E37" s="3"/>
      <c r="F37" s="3"/>
      <c r="G37" s="3"/>
      <c r="H37" s="3"/>
      <c r="I37" s="2"/>
      <c r="J37" s="2"/>
      <c r="K37" s="2"/>
      <c r="L37" s="2"/>
      <c r="M37" s="2"/>
      <c r="O37" s="1"/>
    </row>
    <row r="38" spans="1:15">
      <c r="A38" s="3"/>
      <c r="B38" s="134" t="s">
        <v>1998</v>
      </c>
      <c r="C38" s="134" t="s">
        <v>1952</v>
      </c>
      <c r="D38" s="3"/>
      <c r="E38" s="3"/>
      <c r="F38" s="3"/>
      <c r="G38" s="3"/>
      <c r="H38" s="3"/>
      <c r="I38" s="2"/>
      <c r="J38" s="2"/>
      <c r="K38" s="2"/>
      <c r="L38" s="2"/>
      <c r="M38" s="2"/>
      <c r="O38" s="1"/>
    </row>
    <row r="39" spans="1:15">
      <c r="A39" s="3"/>
      <c r="B39" s="697">
        <v>0.4</v>
      </c>
      <c r="C39" s="697">
        <v>0.15</v>
      </c>
      <c r="D39" s="3"/>
      <c r="E39" s="3"/>
      <c r="F39" s="3"/>
      <c r="G39" s="3"/>
      <c r="H39" s="3"/>
      <c r="I39" s="2"/>
      <c r="J39" s="2"/>
      <c r="K39" s="2"/>
      <c r="L39" s="2"/>
      <c r="M39" s="2"/>
      <c r="O39" s="1"/>
    </row>
    <row r="40" spans="1:15">
      <c r="A40" s="3"/>
      <c r="B40" s="697">
        <v>0.5</v>
      </c>
      <c r="C40" s="697">
        <v>0.35</v>
      </c>
      <c r="D40" s="3"/>
      <c r="E40" s="3"/>
      <c r="F40" s="3"/>
      <c r="G40" s="3"/>
      <c r="H40" s="3"/>
      <c r="I40" s="2"/>
      <c r="J40" s="2"/>
      <c r="K40" s="2"/>
      <c r="L40" s="2"/>
      <c r="M40" s="2"/>
      <c r="O40" s="1"/>
    </row>
    <row r="41" spans="1:15">
      <c r="A41" s="3"/>
      <c r="B41" s="697">
        <v>0.6</v>
      </c>
      <c r="C41" s="697">
        <v>0.25</v>
      </c>
      <c r="D41" s="3"/>
      <c r="E41" s="3"/>
      <c r="F41" s="3"/>
      <c r="G41" s="3"/>
      <c r="H41" s="3"/>
      <c r="I41" s="2"/>
      <c r="J41" s="2"/>
      <c r="K41" s="2"/>
      <c r="L41" s="2"/>
      <c r="M41" s="2"/>
      <c r="O41" s="1"/>
    </row>
    <row r="42" spans="1:15">
      <c r="A42" s="3"/>
      <c r="B42" s="697">
        <v>0.7</v>
      </c>
      <c r="C42" s="697">
        <v>0.15</v>
      </c>
      <c r="D42" s="3"/>
      <c r="E42" s="3"/>
      <c r="F42" s="3"/>
      <c r="G42" s="3"/>
      <c r="H42" s="3"/>
      <c r="I42" s="2"/>
      <c r="J42" s="2"/>
      <c r="K42" s="2"/>
      <c r="L42" s="2"/>
      <c r="M42" s="2"/>
      <c r="O42" s="1"/>
    </row>
    <row r="43" spans="1:15">
      <c r="A43" s="3"/>
      <c r="B43" s="697">
        <v>0.8</v>
      </c>
      <c r="C43" s="697">
        <v>0.08</v>
      </c>
      <c r="D43" s="3"/>
      <c r="E43" s="3"/>
      <c r="F43" s="3"/>
      <c r="G43" s="3"/>
      <c r="H43" s="3"/>
      <c r="I43" s="2"/>
      <c r="J43" s="2"/>
      <c r="K43" s="2"/>
      <c r="L43" s="2"/>
      <c r="M43" s="2"/>
      <c r="O43" s="1"/>
    </row>
    <row r="44" spans="1:15">
      <c r="A44" s="3"/>
      <c r="B44" s="697">
        <v>0.9</v>
      </c>
      <c r="C44" s="697">
        <v>0.02</v>
      </c>
      <c r="D44" s="3"/>
      <c r="E44" s="3"/>
      <c r="F44" s="3"/>
      <c r="G44" s="3"/>
      <c r="H44" s="3"/>
      <c r="I44" s="2"/>
      <c r="J44" s="2"/>
      <c r="K44" s="2"/>
      <c r="L44" s="2"/>
      <c r="M44" s="2"/>
      <c r="O44" s="1"/>
    </row>
    <row r="45" spans="1:15">
      <c r="A45" s="3"/>
      <c r="B45" s="163"/>
      <c r="C45" s="746"/>
      <c r="D45" s="3"/>
      <c r="E45" s="3"/>
      <c r="F45" s="3"/>
      <c r="G45" s="3"/>
      <c r="H45" s="3"/>
      <c r="I45" s="2"/>
      <c r="J45" s="2"/>
      <c r="K45" s="2"/>
      <c r="L45" s="2"/>
      <c r="M45" s="2"/>
      <c r="O45" s="1"/>
    </row>
    <row r="46" spans="1:15">
      <c r="A46" s="3"/>
      <c r="B46" s="1736" t="s">
        <v>2201</v>
      </c>
      <c r="C46" s="1736"/>
      <c r="D46" s="3"/>
      <c r="E46" s="3"/>
      <c r="F46" s="3"/>
      <c r="G46" s="3"/>
      <c r="H46" s="3"/>
      <c r="I46" s="2"/>
      <c r="J46" s="2"/>
      <c r="K46" s="2"/>
      <c r="L46" s="2"/>
      <c r="M46" s="2"/>
      <c r="O46" s="1"/>
    </row>
    <row r="47" spans="1:15">
      <c r="A47" s="3"/>
      <c r="B47" s="134" t="s">
        <v>1998</v>
      </c>
      <c r="C47" s="134" t="s">
        <v>1997</v>
      </c>
      <c r="D47" s="3"/>
      <c r="E47" s="3"/>
      <c r="F47" s="3"/>
      <c r="G47" s="3"/>
      <c r="H47" s="3"/>
      <c r="I47" s="2"/>
      <c r="J47" s="2"/>
      <c r="K47" s="2"/>
      <c r="L47" s="2"/>
      <c r="M47" s="2"/>
      <c r="O47" s="1"/>
    </row>
    <row r="48" spans="1:15">
      <c r="A48" s="3"/>
      <c r="B48" s="133" t="s">
        <v>2200</v>
      </c>
      <c r="C48" s="697">
        <v>0.3</v>
      </c>
      <c r="D48" s="3"/>
      <c r="E48" s="3"/>
      <c r="F48" s="3"/>
      <c r="G48" s="3"/>
      <c r="H48" s="3"/>
      <c r="I48" s="2"/>
      <c r="J48" s="2"/>
      <c r="K48" s="2"/>
      <c r="L48" s="2"/>
      <c r="M48" s="2"/>
      <c r="O48" s="1"/>
    </row>
    <row r="49" spans="1:15">
      <c r="A49" s="3"/>
      <c r="B49" s="133" t="s">
        <v>2199</v>
      </c>
      <c r="C49" s="133" t="s">
        <v>1993</v>
      </c>
      <c r="D49" s="3"/>
      <c r="E49" s="3"/>
      <c r="F49" s="3"/>
      <c r="G49" s="3"/>
      <c r="H49" s="3"/>
      <c r="I49" s="2"/>
      <c r="J49" s="2"/>
      <c r="K49" s="2"/>
      <c r="L49" s="2"/>
      <c r="M49" s="2"/>
      <c r="O49" s="1"/>
    </row>
    <row r="50" spans="1:15">
      <c r="A50" s="3"/>
      <c r="B50" s="133" t="s">
        <v>2198</v>
      </c>
      <c r="C50" s="697">
        <v>0.1</v>
      </c>
      <c r="D50" s="3"/>
      <c r="E50" s="3"/>
      <c r="F50" s="3"/>
      <c r="G50" s="3"/>
      <c r="H50" s="3"/>
      <c r="I50" s="2"/>
      <c r="J50" s="2"/>
      <c r="K50" s="2"/>
      <c r="L50" s="2"/>
      <c r="M50" s="2"/>
      <c r="O50" s="1"/>
    </row>
    <row r="51" spans="1:15">
      <c r="A51" s="3"/>
      <c r="B51" s="163"/>
      <c r="C51" s="746"/>
      <c r="D51" s="3"/>
      <c r="E51" s="3"/>
      <c r="F51" s="3"/>
      <c r="G51" s="3"/>
      <c r="H51" s="3"/>
      <c r="I51" s="2"/>
      <c r="J51" s="2"/>
      <c r="K51" s="2"/>
      <c r="L51" s="2"/>
      <c r="M51" s="2"/>
      <c r="O51" s="1"/>
    </row>
    <row r="52" spans="1:15">
      <c r="A52" s="3" t="s">
        <v>9</v>
      </c>
      <c r="B52" s="3" t="s">
        <v>2197</v>
      </c>
      <c r="C52" s="3"/>
      <c r="D52" s="3"/>
      <c r="E52" s="3"/>
      <c r="F52" s="3"/>
      <c r="G52" s="3"/>
      <c r="H52" s="3"/>
      <c r="I52" s="2"/>
      <c r="J52" s="2"/>
      <c r="K52" s="2"/>
      <c r="L52" s="2"/>
      <c r="M52" s="2"/>
      <c r="O52" s="1"/>
    </row>
    <row r="53" spans="1:15" ht="16.2">
      <c r="A53" s="5"/>
      <c r="B53" s="5" t="s">
        <v>64</v>
      </c>
      <c r="C53" s="5"/>
      <c r="D53" s="4"/>
      <c r="E53" s="4"/>
      <c r="F53" s="3"/>
      <c r="G53" s="3"/>
      <c r="H53" s="2"/>
      <c r="I53" s="44"/>
      <c r="J53" s="2"/>
      <c r="K53" s="2"/>
      <c r="L53" s="2"/>
      <c r="M53" s="2"/>
      <c r="O53" s="1"/>
    </row>
    <row r="54" spans="1:15">
      <c r="A54" s="187"/>
      <c r="B54"/>
      <c r="C54"/>
      <c r="D54"/>
      <c r="E54"/>
      <c r="F54"/>
      <c r="G54"/>
      <c r="H54"/>
      <c r="I54"/>
      <c r="J54"/>
      <c r="K54"/>
      <c r="L54"/>
      <c r="O54" s="1"/>
    </row>
    <row r="55" spans="1:15">
      <c r="A55" s="187"/>
      <c r="B55" s="1314" t="s">
        <v>2196</v>
      </c>
      <c r="C55" s="1314" t="s">
        <v>1952</v>
      </c>
      <c r="D55" t="s">
        <v>1997</v>
      </c>
      <c r="E55" t="s">
        <v>2195</v>
      </c>
      <c r="F55"/>
      <c r="G55"/>
      <c r="H55"/>
      <c r="I55"/>
      <c r="J55"/>
      <c r="K55"/>
      <c r="L55"/>
      <c r="O55" s="1"/>
    </row>
    <row r="56" spans="1:15">
      <c r="A56" s="187"/>
      <c r="B56" s="1313">
        <f t="shared" ref="B56:C61" si="2">B39</f>
        <v>0.4</v>
      </c>
      <c r="C56" s="1313">
        <f t="shared" si="2"/>
        <v>0.15</v>
      </c>
      <c r="D56" s="1313">
        <f t="shared" ref="D56:D61" si="3">IF(B56&lt;=50%,$C$48,IF(B56&gt;90%,$C$50,$C$48+($C$50-$C$48)*(B56-50%)/(90%-50%)))</f>
        <v>0.3</v>
      </c>
      <c r="E56" s="1312">
        <f t="shared" ref="E56:E61" si="4">B56+D56</f>
        <v>0.7</v>
      </c>
      <c r="F56"/>
      <c r="G56"/>
      <c r="H56"/>
      <c r="I56"/>
      <c r="J56"/>
      <c r="K56"/>
      <c r="L56"/>
      <c r="O56" s="1"/>
    </row>
    <row r="57" spans="1:15">
      <c r="A57" s="187"/>
      <c r="B57" s="1313">
        <f t="shared" si="2"/>
        <v>0.5</v>
      </c>
      <c r="C57" s="1313">
        <f t="shared" si="2"/>
        <v>0.35</v>
      </c>
      <c r="D57" s="1313">
        <f t="shared" si="3"/>
        <v>0.3</v>
      </c>
      <c r="E57" s="1312">
        <f t="shared" si="4"/>
        <v>0.8</v>
      </c>
      <c r="F57"/>
      <c r="G57"/>
      <c r="H57"/>
      <c r="I57"/>
      <c r="J57"/>
      <c r="K57"/>
      <c r="L57"/>
      <c r="O57" s="1"/>
    </row>
    <row r="58" spans="1:15">
      <c r="A58" s="187"/>
      <c r="B58" s="1313">
        <f t="shared" si="2"/>
        <v>0.6</v>
      </c>
      <c r="C58" s="1313">
        <f t="shared" si="2"/>
        <v>0.25</v>
      </c>
      <c r="D58" s="1313">
        <f t="shared" si="3"/>
        <v>0.25</v>
      </c>
      <c r="E58" s="1312">
        <f t="shared" si="4"/>
        <v>0.85</v>
      </c>
      <c r="F58"/>
      <c r="G58"/>
      <c r="H58"/>
      <c r="I58"/>
      <c r="J58"/>
      <c r="K58"/>
      <c r="L58"/>
      <c r="O58" s="1"/>
    </row>
    <row r="59" spans="1:15">
      <c r="A59" s="187"/>
      <c r="B59" s="1313">
        <f t="shared" si="2"/>
        <v>0.7</v>
      </c>
      <c r="C59" s="1313">
        <f t="shared" si="2"/>
        <v>0.15</v>
      </c>
      <c r="D59" s="1313">
        <f t="shared" si="3"/>
        <v>0.2</v>
      </c>
      <c r="E59" s="1312">
        <f t="shared" si="4"/>
        <v>0.89999999999999991</v>
      </c>
      <c r="F59"/>
      <c r="G59"/>
      <c r="H59"/>
      <c r="I59"/>
      <c r="J59"/>
      <c r="K59"/>
      <c r="L59"/>
      <c r="O59" s="1"/>
    </row>
    <row r="60" spans="1:15">
      <c r="A60" s="187"/>
      <c r="B60" s="1313">
        <f t="shared" si="2"/>
        <v>0.8</v>
      </c>
      <c r="C60" s="1313">
        <f t="shared" si="2"/>
        <v>0.08</v>
      </c>
      <c r="D60" s="1313">
        <f t="shared" si="3"/>
        <v>0.15</v>
      </c>
      <c r="E60" s="1312">
        <f t="shared" si="4"/>
        <v>0.95000000000000007</v>
      </c>
      <c r="F60"/>
      <c r="G60"/>
      <c r="H60"/>
      <c r="I60"/>
      <c r="J60"/>
      <c r="K60"/>
      <c r="L60"/>
      <c r="O60" s="1"/>
    </row>
    <row r="61" spans="1:15">
      <c r="A61" s="187"/>
      <c r="B61" s="1313">
        <f t="shared" si="2"/>
        <v>0.9</v>
      </c>
      <c r="C61" s="1313">
        <f t="shared" si="2"/>
        <v>0.02</v>
      </c>
      <c r="D61" s="1313">
        <f t="shared" si="3"/>
        <v>0.1</v>
      </c>
      <c r="E61" s="1312">
        <f t="shared" si="4"/>
        <v>1</v>
      </c>
      <c r="F61"/>
      <c r="G61"/>
      <c r="H61"/>
      <c r="I61"/>
      <c r="J61"/>
      <c r="K61"/>
      <c r="L61"/>
      <c r="O61" s="1"/>
    </row>
    <row r="62" spans="1:15">
      <c r="A62" s="187"/>
      <c r="B62"/>
      <c r="C62"/>
      <c r="F62"/>
      <c r="G62"/>
      <c r="H62"/>
      <c r="I62"/>
      <c r="J62"/>
      <c r="K62"/>
      <c r="L62"/>
      <c r="O62" s="1"/>
    </row>
    <row r="63" spans="1:15">
      <c r="A63" s="187"/>
      <c r="F63"/>
      <c r="G63"/>
      <c r="H63"/>
      <c r="I63"/>
      <c r="J63"/>
      <c r="K63"/>
      <c r="L63"/>
      <c r="O63" s="1"/>
    </row>
    <row r="64" spans="1:15">
      <c r="A64" s="187"/>
      <c r="B64" s="1032" t="s">
        <v>2194</v>
      </c>
      <c r="C64" s="1032"/>
      <c r="D64" s="1032"/>
      <c r="E64" s="1311" cm="1">
        <f t="array" ref="E64">SUMPRODUCT(E56:E61*C56:C61)</f>
        <v>0.82850000000000001</v>
      </c>
      <c r="F64"/>
      <c r="G64"/>
      <c r="H64"/>
      <c r="I64"/>
      <c r="J64"/>
      <c r="K64"/>
      <c r="L64"/>
      <c r="O64" s="1"/>
    </row>
    <row r="65" spans="1:15">
      <c r="A65"/>
      <c r="B65"/>
      <c r="C65"/>
      <c r="D65"/>
      <c r="E65"/>
      <c r="F65"/>
      <c r="G65"/>
      <c r="H65"/>
      <c r="I65"/>
      <c r="J65"/>
      <c r="K65"/>
      <c r="L65"/>
      <c r="O65" s="1"/>
    </row>
    <row r="66" spans="1:15">
      <c r="A66" s="3" t="s">
        <v>7</v>
      </c>
      <c r="B66" s="3" t="s">
        <v>2193</v>
      </c>
      <c r="C66" s="3"/>
      <c r="D66" s="3"/>
      <c r="E66" s="3"/>
      <c r="F66" s="3"/>
      <c r="G66" s="3"/>
      <c r="H66" s="3"/>
      <c r="I66" s="2"/>
      <c r="J66" s="2"/>
      <c r="K66" s="2"/>
      <c r="L66" s="2"/>
      <c r="M66" s="2"/>
      <c r="O66" s="1"/>
    </row>
    <row r="67" spans="1:15" ht="16.2">
      <c r="A67" s="5"/>
      <c r="B67" s="5" t="s">
        <v>64</v>
      </c>
      <c r="C67" s="5"/>
      <c r="D67" s="4"/>
      <c r="E67" s="4"/>
      <c r="F67" s="3"/>
      <c r="G67" s="3"/>
      <c r="H67" s="2"/>
      <c r="I67" s="44"/>
      <c r="J67" s="2"/>
      <c r="K67" s="2"/>
      <c r="L67" s="2"/>
      <c r="M67" s="2"/>
      <c r="O67" s="1"/>
    </row>
    <row r="68" spans="1:15">
      <c r="A68"/>
      <c r="B68"/>
      <c r="C68"/>
      <c r="D68"/>
      <c r="E68"/>
      <c r="F68"/>
      <c r="G68"/>
      <c r="H68"/>
      <c r="I68"/>
      <c r="O68" s="1"/>
    </row>
    <row r="69" spans="1:15">
      <c r="A69"/>
      <c r="B69" s="126" t="s">
        <v>2192</v>
      </c>
      <c r="C69" s="125"/>
      <c r="D69" s="1309" cm="1">
        <f t="array" ref="D69">SUMPRODUCT(B56:B61*C56:C61)</f>
        <v>0.57200000000000006</v>
      </c>
      <c r="E69"/>
      <c r="G69"/>
      <c r="H69"/>
      <c r="I69"/>
      <c r="O69" s="1"/>
    </row>
    <row r="70" spans="1:15">
      <c r="A70"/>
      <c r="B70" s="107" t="s">
        <v>2191</v>
      </c>
      <c r="C70" s="107"/>
      <c r="D70" s="1310">
        <f>IF(D69&lt;=50%,$C$48,IF(D69&gt;90%,$C$50,$C$48+($C$50-$C$48)*(D69-50%)/(90%-50%)))</f>
        <v>0.26399999999999996</v>
      </c>
      <c r="E70"/>
      <c r="F70"/>
      <c r="G70"/>
      <c r="H70"/>
      <c r="I70"/>
      <c r="O70" s="1"/>
    </row>
    <row r="71" spans="1:15">
      <c r="A71"/>
      <c r="B71" t="s">
        <v>2190</v>
      </c>
      <c r="C71"/>
      <c r="D71" s="1309" cm="1">
        <f t="array" ref="D71">SUMPRODUCT(D56:D61*C56:C61)</f>
        <v>0.25650000000000001</v>
      </c>
      <c r="E71"/>
      <c r="F71"/>
      <c r="G71"/>
      <c r="H71"/>
      <c r="I71"/>
    </row>
    <row r="72" spans="1:15">
      <c r="A72"/>
      <c r="B72"/>
      <c r="C72"/>
      <c r="D72"/>
      <c r="E72"/>
      <c r="F72"/>
      <c r="G72"/>
      <c r="H72"/>
      <c r="I72"/>
    </row>
    <row r="73" spans="1:15">
      <c r="A73"/>
      <c r="B73" t="s">
        <v>2189</v>
      </c>
      <c r="C73"/>
      <c r="D73"/>
      <c r="E73"/>
      <c r="F73"/>
      <c r="G73"/>
      <c r="H73"/>
      <c r="I73"/>
    </row>
    <row r="74" spans="1:15">
      <c r="A74"/>
      <c r="B74"/>
      <c r="C74"/>
      <c r="D74"/>
      <c r="E74"/>
      <c r="F74"/>
      <c r="G74"/>
      <c r="H74"/>
      <c r="I74"/>
    </row>
  </sheetData>
  <mergeCells count="7">
    <mergeCell ref="B46:C46"/>
    <mergeCell ref="A3:K3"/>
    <mergeCell ref="B5:B6"/>
    <mergeCell ref="C5:C6"/>
    <mergeCell ref="D5:D6"/>
    <mergeCell ref="B13:B14"/>
    <mergeCell ref="C13:C14"/>
  </mergeCells>
  <pageMargins left="0.7" right="0.7" top="0.75" bottom="0.75" header="0.3" footer="0.3"/>
  <pageSetup orientation="portrait" horizontalDpi="0"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61FF-C5E5-45F1-AE74-413CBB392FFE}">
  <dimension ref="A1:Y82"/>
  <sheetViews>
    <sheetView zoomScale="90" zoomScaleNormal="90" workbookViewId="0">
      <selection activeCell="B38" sqref="B38"/>
    </sheetView>
  </sheetViews>
  <sheetFormatPr defaultColWidth="9.109375" defaultRowHeight="15.6"/>
  <cols>
    <col min="1" max="1" width="14.109375" style="1" customWidth="1"/>
    <col min="2" max="2" width="12.6640625" style="1" customWidth="1"/>
    <col min="3" max="11" width="14.109375" style="1" customWidth="1"/>
    <col min="12" max="12" width="8" style="1" customWidth="1"/>
    <col min="13" max="13" width="14.109375" style="1" customWidth="1"/>
    <col min="14" max="14" width="8.88671875" bestFit="1" customWidth="1"/>
    <col min="26" max="16384" width="9.109375" style="1"/>
  </cols>
  <sheetData>
    <row r="1" spans="1:13" ht="15.75" customHeight="1">
      <c r="A1" s="23" t="s">
        <v>839</v>
      </c>
      <c r="B1" s="22"/>
      <c r="C1" s="5" t="s">
        <v>38</v>
      </c>
      <c r="D1" s="22"/>
      <c r="E1" s="22"/>
      <c r="F1" s="22"/>
      <c r="G1" s="22"/>
      <c r="H1" s="22"/>
      <c r="I1" s="22"/>
      <c r="J1" s="22"/>
      <c r="K1" s="22"/>
      <c r="L1" s="22"/>
      <c r="M1" s="2"/>
    </row>
    <row r="2" spans="1:13" ht="15.75" customHeight="1">
      <c r="A2" s="23"/>
      <c r="B2" s="21"/>
      <c r="C2" s="160" t="s">
        <v>1682</v>
      </c>
      <c r="D2" s="137"/>
      <c r="E2" s="137"/>
      <c r="F2" s="137"/>
      <c r="G2" s="137"/>
      <c r="H2" s="137"/>
      <c r="I2" s="137"/>
      <c r="J2" s="137"/>
      <c r="K2" s="137"/>
      <c r="L2" s="137"/>
      <c r="M2" s="137"/>
    </row>
    <row r="3" spans="1:13" customFormat="1" ht="15.75" customHeight="1">
      <c r="A3" s="23"/>
      <c r="B3" s="21"/>
      <c r="C3" s="5"/>
      <c r="D3" s="21"/>
      <c r="E3" s="21"/>
      <c r="F3" s="21"/>
      <c r="G3" s="21"/>
      <c r="H3" s="21"/>
      <c r="I3" s="21"/>
      <c r="J3" s="21"/>
      <c r="K3" s="21"/>
      <c r="L3" s="21"/>
      <c r="M3" s="2"/>
    </row>
    <row r="4" spans="1:13">
      <c r="A4" s="1873" t="s">
        <v>2251</v>
      </c>
      <c r="B4" s="1873"/>
      <c r="C4" s="1873"/>
      <c r="D4" s="1873"/>
      <c r="E4" s="1873"/>
      <c r="F4" s="1873"/>
      <c r="G4" s="1873"/>
      <c r="H4" s="1873"/>
      <c r="I4" s="1873"/>
      <c r="J4" s="1873"/>
      <c r="K4" s="1873"/>
      <c r="L4" s="1873"/>
      <c r="M4" s="1873"/>
    </row>
    <row r="5" spans="1:13">
      <c r="A5" s="1349" t="s">
        <v>2250</v>
      </c>
      <c r="B5" s="136"/>
      <c r="C5" s="136"/>
      <c r="D5" s="136"/>
      <c r="E5" s="136"/>
      <c r="F5" s="136"/>
      <c r="G5" s="136"/>
      <c r="H5" s="136"/>
      <c r="I5" s="1346"/>
      <c r="J5" s="1345" t="s">
        <v>2249</v>
      </c>
      <c r="K5" s="1351">
        <v>44927</v>
      </c>
      <c r="L5" s="136"/>
      <c r="M5" s="136"/>
    </row>
    <row r="6" spans="1:13">
      <c r="A6" s="1349" t="s">
        <v>2248</v>
      </c>
      <c r="B6" s="136"/>
      <c r="C6" s="136"/>
      <c r="D6" s="136"/>
      <c r="E6" s="136"/>
      <c r="F6" s="136"/>
      <c r="G6" s="136"/>
      <c r="H6" s="136"/>
      <c r="I6" s="1346"/>
      <c r="J6" s="1345" t="s">
        <v>2247</v>
      </c>
      <c r="K6" s="133">
        <v>100</v>
      </c>
      <c r="L6" s="133" t="s">
        <v>2246</v>
      </c>
      <c r="M6" s="133">
        <v>150</v>
      </c>
    </row>
    <row r="7" spans="1:13">
      <c r="A7" s="1349" t="s">
        <v>2245</v>
      </c>
      <c r="B7" s="136"/>
      <c r="C7" s="136"/>
      <c r="D7" s="136"/>
      <c r="E7" s="136"/>
      <c r="F7" s="136"/>
      <c r="G7" s="136"/>
      <c r="H7" s="136"/>
      <c r="I7" s="1346"/>
      <c r="J7" s="1345" t="s">
        <v>2244</v>
      </c>
      <c r="K7" s="133">
        <v>48</v>
      </c>
      <c r="L7" s="136"/>
      <c r="M7" s="136"/>
    </row>
    <row r="8" spans="1:13">
      <c r="A8" s="1349" t="s">
        <v>2243</v>
      </c>
      <c r="B8" s="136"/>
      <c r="C8" s="136"/>
      <c r="D8" s="136"/>
      <c r="E8" s="136"/>
      <c r="F8" s="136"/>
      <c r="G8" s="136"/>
      <c r="H8" s="136"/>
      <c r="I8" s="1346"/>
      <c r="J8" s="1345" t="s">
        <v>2242</v>
      </c>
      <c r="K8" s="697">
        <v>0.65</v>
      </c>
      <c r="L8" s="136"/>
      <c r="M8" s="136"/>
    </row>
    <row r="9" spans="1:13">
      <c r="A9" s="1349" t="s">
        <v>2241</v>
      </c>
      <c r="B9" s="136"/>
      <c r="C9" s="136"/>
      <c r="D9" s="136"/>
      <c r="E9" s="136"/>
      <c r="F9" s="136"/>
      <c r="G9" s="136"/>
      <c r="H9" s="136"/>
      <c r="I9" s="1346"/>
      <c r="J9" s="1345" t="s">
        <v>2240</v>
      </c>
      <c r="K9" s="1351">
        <v>46204</v>
      </c>
      <c r="L9" s="136"/>
      <c r="M9" s="136"/>
    </row>
    <row r="10" spans="1:13">
      <c r="A10" s="21"/>
      <c r="B10" s="136"/>
      <c r="C10" s="136"/>
      <c r="D10" s="136"/>
      <c r="E10" s="136"/>
      <c r="F10" s="136"/>
      <c r="G10" s="136"/>
      <c r="H10" s="136"/>
      <c r="I10" s="136"/>
      <c r="J10" s="136"/>
      <c r="K10" s="136"/>
      <c r="L10" s="136"/>
      <c r="M10" s="136"/>
    </row>
    <row r="11" spans="1:13">
      <c r="A11" s="21" t="s">
        <v>2239</v>
      </c>
      <c r="B11" s="136"/>
      <c r="C11" s="136"/>
      <c r="D11" s="136"/>
      <c r="E11" s="136"/>
      <c r="F11" s="136"/>
      <c r="G11" s="136"/>
      <c r="H11" s="136"/>
      <c r="I11" s="136"/>
      <c r="J11" s="136"/>
      <c r="K11" s="136"/>
      <c r="L11" s="136"/>
      <c r="M11" s="136"/>
    </row>
    <row r="12" spans="1:13">
      <c r="A12" s="21"/>
      <c r="B12" s="21"/>
      <c r="C12" s="136"/>
      <c r="D12" s="136"/>
      <c r="E12" s="136"/>
      <c r="F12" s="136"/>
      <c r="G12" s="136"/>
      <c r="H12" s="136"/>
      <c r="I12" s="136"/>
      <c r="J12" s="136"/>
      <c r="K12" s="136"/>
      <c r="L12" s="136"/>
      <c r="M12" s="136"/>
    </row>
    <row r="13" spans="1:13" ht="31.2">
      <c r="A13" s="471" t="s">
        <v>2238</v>
      </c>
      <c r="B13" s="471" t="s">
        <v>2237</v>
      </c>
      <c r="C13" s="136"/>
      <c r="D13" s="136"/>
      <c r="E13" s="136"/>
      <c r="F13" s="136"/>
      <c r="G13" s="136"/>
      <c r="H13" s="136"/>
      <c r="I13" s="136"/>
      <c r="J13" s="136"/>
      <c r="K13" s="136"/>
      <c r="L13" s="136"/>
      <c r="M13" s="136"/>
    </row>
    <row r="14" spans="1:13">
      <c r="A14" s="682">
        <v>0.55000000000000004</v>
      </c>
      <c r="B14" s="1350">
        <v>65.5</v>
      </c>
      <c r="C14" s="136"/>
      <c r="D14" s="136"/>
      <c r="E14" s="136"/>
      <c r="F14" s="136"/>
      <c r="G14" s="136"/>
      <c r="H14" s="136"/>
      <c r="I14" s="136"/>
      <c r="J14" s="136"/>
      <c r="K14" s="136"/>
      <c r="L14" s="136"/>
      <c r="M14" s="136"/>
    </row>
    <row r="15" spans="1:13">
      <c r="A15" s="682">
        <v>0.12</v>
      </c>
      <c r="B15" s="1350">
        <v>87.6</v>
      </c>
      <c r="C15" s="136"/>
      <c r="D15" s="136"/>
      <c r="E15" s="136"/>
      <c r="F15" s="136"/>
      <c r="G15" s="136"/>
      <c r="H15" s="136"/>
      <c r="I15" s="136"/>
      <c r="J15" s="136"/>
      <c r="K15" s="136"/>
      <c r="L15" s="136"/>
      <c r="M15" s="136"/>
    </row>
    <row r="16" spans="1:13">
      <c r="A16" s="682">
        <v>7.4999999999999997E-2</v>
      </c>
      <c r="B16" s="1350">
        <v>108</v>
      </c>
      <c r="C16" s="136"/>
      <c r="D16" s="136"/>
      <c r="E16" s="136"/>
      <c r="F16" s="136"/>
      <c r="G16" s="136"/>
      <c r="H16" s="136"/>
      <c r="I16" s="136"/>
      <c r="J16" s="136"/>
      <c r="K16" s="136"/>
      <c r="L16" s="136"/>
      <c r="M16" s="136"/>
    </row>
    <row r="17" spans="1:13">
      <c r="A17" s="682">
        <v>5.5E-2</v>
      </c>
      <c r="B17" s="1350">
        <v>123.6</v>
      </c>
      <c r="C17" s="136"/>
      <c r="D17" s="136"/>
      <c r="E17" s="136"/>
      <c r="F17" s="136"/>
      <c r="G17" s="136"/>
      <c r="H17" s="136"/>
      <c r="I17" s="136"/>
      <c r="J17" s="136"/>
      <c r="K17" s="136"/>
      <c r="L17" s="136"/>
      <c r="M17" s="136"/>
    </row>
    <row r="18" spans="1:13">
      <c r="A18" s="682">
        <v>0.05</v>
      </c>
      <c r="B18" s="1350">
        <v>139.30000000000001</v>
      </c>
      <c r="C18" s="136"/>
      <c r="D18" s="136"/>
      <c r="E18" s="136"/>
      <c r="F18" s="136"/>
      <c r="G18" s="136"/>
      <c r="H18" s="136"/>
      <c r="I18" s="136"/>
      <c r="J18" s="136"/>
      <c r="K18" s="136"/>
      <c r="L18" s="136"/>
      <c r="M18" s="136"/>
    </row>
    <row r="19" spans="1:13">
      <c r="A19" s="682">
        <v>2.5000000000000001E-2</v>
      </c>
      <c r="B19" s="1350">
        <v>150</v>
      </c>
      <c r="C19" s="136"/>
      <c r="D19" s="136"/>
      <c r="E19" s="136"/>
      <c r="F19" s="136"/>
      <c r="G19" s="136"/>
      <c r="H19" s="136"/>
      <c r="I19" s="136"/>
      <c r="J19" s="136"/>
      <c r="K19" s="136"/>
      <c r="L19" s="136"/>
      <c r="M19" s="136"/>
    </row>
    <row r="20" spans="1:13">
      <c r="A20" s="682">
        <v>2.5000000000000001E-2</v>
      </c>
      <c r="B20" s="1350">
        <v>165.6</v>
      </c>
      <c r="C20" s="136"/>
      <c r="D20" s="136"/>
      <c r="E20" s="136"/>
      <c r="F20" s="136"/>
      <c r="G20" s="136"/>
      <c r="H20" s="136"/>
      <c r="I20" s="136"/>
      <c r="J20" s="136"/>
      <c r="K20" s="136"/>
      <c r="L20" s="136"/>
      <c r="M20" s="136"/>
    </row>
    <row r="21" spans="1:13">
      <c r="A21" s="682">
        <v>0.02</v>
      </c>
      <c r="B21" s="1350">
        <v>175.8</v>
      </c>
      <c r="C21" s="136"/>
      <c r="D21" s="136"/>
      <c r="E21" s="136"/>
      <c r="F21" s="136"/>
      <c r="G21" s="136"/>
      <c r="H21" s="136"/>
      <c r="I21" s="136"/>
      <c r="J21" s="136"/>
      <c r="K21" s="136"/>
      <c r="L21" s="136"/>
      <c r="M21" s="136"/>
    </row>
    <row r="22" spans="1:13">
      <c r="A22" s="682">
        <v>0.02</v>
      </c>
      <c r="B22" s="1350">
        <v>202.6</v>
      </c>
      <c r="C22" s="136"/>
      <c r="D22" s="136"/>
      <c r="E22" s="136"/>
      <c r="F22" s="136"/>
      <c r="G22" s="136"/>
      <c r="H22" s="136"/>
      <c r="I22" s="136"/>
      <c r="J22" s="136"/>
      <c r="K22" s="136"/>
      <c r="L22" s="136"/>
      <c r="M22" s="136"/>
    </row>
    <row r="23" spans="1:13">
      <c r="A23" s="682">
        <v>1.4999999999999999E-2</v>
      </c>
      <c r="B23" s="1350">
        <v>225.4</v>
      </c>
      <c r="C23" s="136"/>
      <c r="D23" s="136"/>
      <c r="E23" s="136"/>
      <c r="F23" s="136"/>
      <c r="G23" s="136"/>
      <c r="H23" s="136"/>
      <c r="I23" s="136"/>
      <c r="J23" s="136"/>
      <c r="K23" s="136"/>
      <c r="L23" s="136"/>
      <c r="M23" s="136"/>
    </row>
    <row r="24" spans="1:13">
      <c r="A24" s="682">
        <v>1.4999999999999999E-2</v>
      </c>
      <c r="B24" s="1350">
        <v>253.7</v>
      </c>
      <c r="C24" s="136"/>
      <c r="D24" s="136"/>
      <c r="E24" s="136"/>
      <c r="F24" s="136"/>
      <c r="G24" s="136"/>
      <c r="H24" s="136"/>
      <c r="I24" s="136"/>
      <c r="J24" s="136"/>
      <c r="K24" s="136"/>
      <c r="L24" s="136"/>
      <c r="M24" s="136"/>
    </row>
    <row r="25" spans="1:13">
      <c r="A25" s="682">
        <v>0.01</v>
      </c>
      <c r="B25" s="1350">
        <v>270.10000000000002</v>
      </c>
      <c r="C25" s="136"/>
      <c r="D25" s="136"/>
      <c r="E25" s="136"/>
      <c r="F25" s="136"/>
      <c r="G25" s="136"/>
      <c r="H25" s="136"/>
      <c r="I25" s="136"/>
      <c r="J25" s="136"/>
      <c r="K25" s="136"/>
      <c r="L25" s="136"/>
      <c r="M25" s="136"/>
    </row>
    <row r="26" spans="1:13">
      <c r="A26" s="682">
        <v>0.01</v>
      </c>
      <c r="B26" s="1350">
        <v>286.5</v>
      </c>
      <c r="C26" s="136"/>
      <c r="D26" s="136"/>
      <c r="E26" s="136"/>
      <c r="F26" s="136"/>
      <c r="G26" s="136"/>
      <c r="H26" s="136"/>
      <c r="I26" s="136"/>
      <c r="J26" s="136"/>
      <c r="K26" s="136"/>
      <c r="L26" s="136"/>
      <c r="M26" s="136"/>
    </row>
    <row r="27" spans="1:13">
      <c r="A27" s="682">
        <v>5.0000000000000001E-3</v>
      </c>
      <c r="B27" s="1350">
        <v>304.5</v>
      </c>
      <c r="C27" s="136"/>
      <c r="D27" s="136"/>
      <c r="E27" s="136"/>
      <c r="F27" s="136"/>
      <c r="G27" s="136"/>
      <c r="H27" s="136"/>
      <c r="I27" s="136"/>
      <c r="J27" s="136"/>
      <c r="K27" s="136"/>
      <c r="L27" s="136"/>
      <c r="M27" s="136"/>
    </row>
    <row r="28" spans="1:13">
      <c r="A28" s="682">
        <v>5.0000000000000001E-3</v>
      </c>
      <c r="B28" s="1350">
        <v>345.5</v>
      </c>
      <c r="C28" s="136"/>
      <c r="D28" s="136"/>
      <c r="E28" s="136"/>
      <c r="F28" s="136"/>
      <c r="G28" s="136"/>
      <c r="H28" s="136"/>
      <c r="I28" s="136"/>
      <c r="J28" s="136"/>
      <c r="K28" s="136"/>
      <c r="L28" s="136"/>
      <c r="M28" s="136"/>
    </row>
    <row r="29" spans="1:13">
      <c r="A29" s="21"/>
      <c r="B29" s="1348"/>
      <c r="C29" s="1347"/>
      <c r="D29" s="136"/>
      <c r="E29" s="136"/>
      <c r="F29" s="136"/>
      <c r="G29" s="136"/>
      <c r="H29" s="136"/>
      <c r="I29" s="136"/>
      <c r="J29" s="136"/>
      <c r="K29" s="136"/>
      <c r="L29" s="136"/>
      <c r="M29" s="136"/>
    </row>
    <row r="30" spans="1:13">
      <c r="A30" s="1349" t="s">
        <v>2236</v>
      </c>
      <c r="B30" s="1348"/>
      <c r="C30" s="1347"/>
      <c r="D30" s="136"/>
      <c r="E30" s="136"/>
      <c r="F30" s="136"/>
      <c r="G30" s="136"/>
      <c r="H30" s="136"/>
      <c r="I30" s="136"/>
      <c r="J30" s="136"/>
      <c r="K30" s="136"/>
      <c r="L30" s="136"/>
      <c r="M30" s="136"/>
    </row>
    <row r="31" spans="1:13">
      <c r="A31" s="1349" t="s">
        <v>2235</v>
      </c>
      <c r="B31" s="1348"/>
      <c r="C31" s="1347"/>
      <c r="D31" s="136"/>
      <c r="E31" s="136"/>
      <c r="F31" s="136"/>
      <c r="G31" s="136"/>
      <c r="H31" s="136"/>
      <c r="I31" s="136"/>
      <c r="J31" s="136"/>
      <c r="K31" s="1346"/>
      <c r="L31" s="1345" t="s">
        <v>2234</v>
      </c>
      <c r="M31" s="682">
        <v>0.04</v>
      </c>
    </row>
    <row r="32" spans="1:13">
      <c r="A32" s="21"/>
      <c r="B32" s="47"/>
      <c r="C32" s="21"/>
      <c r="D32" s="21"/>
      <c r="E32" s="21"/>
      <c r="F32" s="21"/>
      <c r="G32" s="21"/>
      <c r="H32" s="21"/>
      <c r="I32" s="21"/>
      <c r="J32" s="21"/>
      <c r="K32" s="21"/>
      <c r="L32" s="21"/>
      <c r="M32" s="2"/>
    </row>
    <row r="33" spans="1:25">
      <c r="A33" s="214" t="s">
        <v>80</v>
      </c>
      <c r="B33" s="1655" t="s">
        <v>2233</v>
      </c>
      <c r="C33" s="1655"/>
      <c r="D33" s="1655"/>
      <c r="E33" s="1655"/>
      <c r="F33" s="1655"/>
      <c r="G33" s="1655"/>
      <c r="H33" s="1655"/>
      <c r="I33" s="1655"/>
      <c r="J33" s="1655"/>
      <c r="K33" s="1655"/>
      <c r="L33" s="1655"/>
      <c r="M33" s="1655"/>
    </row>
    <row r="34" spans="1:25" ht="16.2">
      <c r="A34" s="21"/>
      <c r="B34" s="160" t="s">
        <v>185</v>
      </c>
      <c r="C34" s="159"/>
      <c r="D34" s="159"/>
      <c r="E34" s="159"/>
      <c r="F34" s="159"/>
      <c r="G34" s="159"/>
      <c r="H34" s="159"/>
      <c r="I34" s="159"/>
      <c r="J34" s="159"/>
      <c r="K34" s="159"/>
      <c r="L34" s="159"/>
      <c r="M34" s="135"/>
    </row>
    <row r="35" spans="1:25" s="37" customFormat="1" ht="15.6" customHeight="1">
      <c r="A35" s="1344"/>
      <c r="B35" s="1344"/>
      <c r="C35" s="1344"/>
      <c r="D35" s="1344"/>
      <c r="E35" s="1344"/>
      <c r="F35" s="1344"/>
      <c r="G35" s="1344"/>
      <c r="H35" s="1344"/>
      <c r="I35" s="1344"/>
      <c r="J35" s="1343"/>
      <c r="K35" s="418"/>
      <c r="L35" s="418"/>
      <c r="M35" s="418"/>
      <c r="N35" s="87"/>
      <c r="O35" s="87"/>
      <c r="P35" s="87"/>
      <c r="Q35" s="87"/>
      <c r="R35" s="87"/>
      <c r="S35" s="87"/>
      <c r="T35" s="87"/>
      <c r="U35" s="87"/>
      <c r="V35" s="87"/>
      <c r="W35" s="87"/>
      <c r="X35" s="87"/>
      <c r="Y35" s="87"/>
    </row>
    <row r="36" spans="1:25" ht="31.2" customHeight="1">
      <c r="A36" s="214" t="s">
        <v>9</v>
      </c>
      <c r="B36" s="1655" t="s">
        <v>2232</v>
      </c>
      <c r="C36" s="1655"/>
      <c r="D36" s="1655"/>
      <c r="E36" s="1655"/>
      <c r="F36" s="1655"/>
      <c r="G36" s="1655"/>
      <c r="H36" s="1655"/>
      <c r="I36" s="1655"/>
      <c r="J36" s="1655"/>
      <c r="K36" s="1655"/>
      <c r="L36" s="45"/>
      <c r="M36" s="45"/>
    </row>
    <row r="37" spans="1:25" ht="16.2">
      <c r="A37" s="21"/>
      <c r="B37" s="5" t="s">
        <v>64</v>
      </c>
      <c r="C37" s="5"/>
      <c r="D37" s="4"/>
      <c r="E37" s="4"/>
      <c r="F37" s="4"/>
      <c r="G37" s="4"/>
      <c r="H37" s="4"/>
      <c r="I37" s="3"/>
      <c r="J37" s="3"/>
      <c r="K37" s="1342"/>
      <c r="L37" s="1341" t="s">
        <v>2231</v>
      </c>
      <c r="M37" s="682">
        <v>0.01</v>
      </c>
    </row>
    <row r="38" spans="1:25" s="37" customFormat="1">
      <c r="A38" s="569"/>
      <c r="B38" s="569"/>
      <c r="C38" s="569"/>
      <c r="D38" s="569"/>
      <c r="E38" s="569"/>
      <c r="F38" s="569"/>
      <c r="G38" s="569"/>
      <c r="H38" s="569"/>
      <c r="I38" s="569"/>
      <c r="J38" s="569"/>
      <c r="K38" s="569"/>
      <c r="L38" s="569"/>
      <c r="M38" s="569"/>
      <c r="N38" s="87"/>
      <c r="O38" s="87"/>
      <c r="P38" s="87"/>
      <c r="Q38" s="87"/>
      <c r="R38" s="87"/>
      <c r="S38" s="87"/>
      <c r="T38" s="87"/>
      <c r="U38" s="87"/>
      <c r="V38" s="87"/>
      <c r="W38" s="87"/>
      <c r="X38" s="87"/>
      <c r="Y38" s="87"/>
    </row>
    <row r="39" spans="1:25" s="37" customFormat="1" ht="43.2">
      <c r="A39" s="1334"/>
      <c r="B39" s="1326" t="s">
        <v>1952</v>
      </c>
      <c r="C39" s="1326" t="s">
        <v>1142</v>
      </c>
      <c r="D39" s="1277" t="s">
        <v>2230</v>
      </c>
      <c r="E39" s="1277" t="s">
        <v>2229</v>
      </c>
      <c r="F39" s="1277" t="s">
        <v>2228</v>
      </c>
      <c r="G39" s="1277" t="s">
        <v>2227</v>
      </c>
      <c r="H39" s="87"/>
      <c r="I39" s="87"/>
      <c r="J39" s="569"/>
      <c r="K39" s="569"/>
      <c r="L39" s="569"/>
      <c r="M39" s="569"/>
      <c r="N39" s="87"/>
      <c r="O39" s="87"/>
      <c r="P39" s="87"/>
      <c r="Q39" s="87"/>
      <c r="R39" s="87"/>
      <c r="S39" s="87"/>
      <c r="T39" s="87"/>
      <c r="U39" s="87"/>
      <c r="V39" s="87"/>
      <c r="W39" s="87"/>
      <c r="X39" s="87"/>
      <c r="Y39" s="87"/>
    </row>
    <row r="40" spans="1:25" s="37" customFormat="1">
      <c r="A40" s="1334"/>
      <c r="B40" s="1338">
        <f t="shared" ref="B40:C54" si="0">A14</f>
        <v>0.55000000000000004</v>
      </c>
      <c r="C40" s="1337">
        <f t="shared" si="0"/>
        <v>65.5</v>
      </c>
      <c r="D40" s="1337">
        <f t="shared" ref="D40:D54" si="1">MIN($K$6,MAX(0,C40-$M$6))</f>
        <v>0</v>
      </c>
      <c r="E40" s="1337">
        <f t="shared" ref="E40:E54" si="2">$K$8*MAX(0,D40-$K$7)</f>
        <v>0</v>
      </c>
      <c r="F40" s="1337">
        <f t="shared" ref="F40:F54" si="3">D40-E40</f>
        <v>0</v>
      </c>
      <c r="G40" s="1337">
        <f t="shared" ref="G40:G54" si="4">MAX(0,-($K$7-F40*(1+$M$31)^-3.5))</f>
        <v>0</v>
      </c>
      <c r="H40" s="87"/>
      <c r="I40" s="87"/>
      <c r="J40" s="569"/>
      <c r="K40" s="569"/>
      <c r="L40" s="569"/>
      <c r="M40" s="569"/>
      <c r="N40" s="87"/>
      <c r="O40" s="87"/>
      <c r="P40" s="87"/>
      <c r="Q40" s="87"/>
      <c r="R40" s="87"/>
      <c r="S40" s="87"/>
      <c r="T40" s="87"/>
      <c r="U40" s="87"/>
      <c r="V40" s="87"/>
      <c r="W40" s="87"/>
      <c r="X40" s="87"/>
      <c r="Y40" s="87"/>
    </row>
    <row r="41" spans="1:25" s="37" customFormat="1">
      <c r="A41" s="1334"/>
      <c r="B41" s="1338">
        <f t="shared" si="0"/>
        <v>0.12</v>
      </c>
      <c r="C41" s="1337">
        <f t="shared" si="0"/>
        <v>87.6</v>
      </c>
      <c r="D41" s="1337">
        <f t="shared" si="1"/>
        <v>0</v>
      </c>
      <c r="E41" s="1337">
        <f t="shared" si="2"/>
        <v>0</v>
      </c>
      <c r="F41" s="1337">
        <f t="shared" si="3"/>
        <v>0</v>
      </c>
      <c r="G41" s="1337">
        <f t="shared" si="4"/>
        <v>0</v>
      </c>
      <c r="H41" s="87"/>
      <c r="I41" s="87"/>
      <c r="J41" s="569"/>
      <c r="K41" s="569"/>
      <c r="L41" s="569"/>
      <c r="M41" s="569"/>
      <c r="N41" s="87"/>
      <c r="O41" s="87"/>
      <c r="P41" s="87"/>
      <c r="Q41" s="87"/>
      <c r="R41" s="87"/>
      <c r="S41" s="87"/>
      <c r="T41" s="87"/>
      <c r="U41" s="87"/>
      <c r="V41" s="87"/>
      <c r="W41" s="87"/>
      <c r="X41" s="87"/>
      <c r="Y41" s="87"/>
    </row>
    <row r="42" spans="1:25" s="37" customFormat="1">
      <c r="A42" s="1334"/>
      <c r="B42" s="1338">
        <f t="shared" si="0"/>
        <v>7.4999999999999997E-2</v>
      </c>
      <c r="C42" s="1337">
        <f t="shared" si="0"/>
        <v>108</v>
      </c>
      <c r="D42" s="1337">
        <f t="shared" si="1"/>
        <v>0</v>
      </c>
      <c r="E42" s="1337">
        <f t="shared" si="2"/>
        <v>0</v>
      </c>
      <c r="F42" s="1337">
        <f t="shared" si="3"/>
        <v>0</v>
      </c>
      <c r="G42" s="1337">
        <f t="shared" si="4"/>
        <v>0</v>
      </c>
      <c r="H42" s="87"/>
      <c r="I42" s="87"/>
      <c r="J42" s="569"/>
      <c r="K42" s="569"/>
      <c r="L42" s="569"/>
      <c r="M42" s="569"/>
      <c r="N42" s="87"/>
      <c r="O42" s="87"/>
      <c r="P42" s="87"/>
      <c r="Q42" s="87"/>
      <c r="R42" s="87"/>
      <c r="S42" s="87"/>
      <c r="T42" s="87"/>
      <c r="U42" s="87"/>
      <c r="V42" s="87"/>
      <c r="W42" s="87"/>
      <c r="X42" s="87"/>
      <c r="Y42" s="87"/>
    </row>
    <row r="43" spans="1:25" s="37" customFormat="1">
      <c r="A43" s="1334"/>
      <c r="B43" s="1338">
        <f t="shared" si="0"/>
        <v>5.5E-2</v>
      </c>
      <c r="C43" s="1337">
        <f t="shared" si="0"/>
        <v>123.6</v>
      </c>
      <c r="D43" s="1337">
        <f t="shared" si="1"/>
        <v>0</v>
      </c>
      <c r="E43" s="1337">
        <f t="shared" si="2"/>
        <v>0</v>
      </c>
      <c r="F43" s="1337">
        <f t="shared" si="3"/>
        <v>0</v>
      </c>
      <c r="G43" s="1337">
        <f t="shared" si="4"/>
        <v>0</v>
      </c>
      <c r="H43" s="87"/>
      <c r="I43" s="87"/>
      <c r="J43" s="569"/>
      <c r="K43" s="569"/>
      <c r="L43" s="569"/>
      <c r="M43" s="569"/>
      <c r="N43" s="87"/>
      <c r="O43" s="87"/>
      <c r="P43" s="87"/>
      <c r="Q43" s="87"/>
      <c r="R43" s="87"/>
      <c r="S43" s="87"/>
      <c r="T43" s="87"/>
      <c r="U43" s="87"/>
      <c r="V43" s="87"/>
      <c r="W43" s="87"/>
      <c r="X43" s="87"/>
      <c r="Y43" s="87"/>
    </row>
    <row r="44" spans="1:25" s="37" customFormat="1">
      <c r="A44" s="1334"/>
      <c r="B44" s="1338">
        <f t="shared" si="0"/>
        <v>0.05</v>
      </c>
      <c r="C44" s="1337">
        <f t="shared" si="0"/>
        <v>139.30000000000001</v>
      </c>
      <c r="D44" s="1337">
        <f t="shared" si="1"/>
        <v>0</v>
      </c>
      <c r="E44" s="1337">
        <f t="shared" si="2"/>
        <v>0</v>
      </c>
      <c r="F44" s="1337">
        <f t="shared" si="3"/>
        <v>0</v>
      </c>
      <c r="G44" s="1337">
        <f t="shared" si="4"/>
        <v>0</v>
      </c>
      <c r="H44" s="87"/>
      <c r="I44" s="87"/>
      <c r="J44" s="569"/>
      <c r="K44" s="569"/>
      <c r="L44" s="569"/>
      <c r="M44" s="569"/>
      <c r="N44" s="87"/>
      <c r="O44" s="87"/>
      <c r="P44" s="87"/>
      <c r="Q44" s="87"/>
      <c r="R44" s="87"/>
      <c r="S44" s="87"/>
      <c r="T44" s="87"/>
      <c r="U44" s="87"/>
      <c r="V44" s="87"/>
      <c r="W44" s="87"/>
      <c r="X44" s="87"/>
      <c r="Y44" s="87"/>
    </row>
    <row r="45" spans="1:25" s="37" customFormat="1">
      <c r="A45" s="1334"/>
      <c r="B45" s="1338">
        <f t="shared" si="0"/>
        <v>2.5000000000000001E-2</v>
      </c>
      <c r="C45" s="1337">
        <f t="shared" si="0"/>
        <v>150</v>
      </c>
      <c r="D45" s="1337">
        <f t="shared" si="1"/>
        <v>0</v>
      </c>
      <c r="E45" s="1337">
        <f t="shared" si="2"/>
        <v>0</v>
      </c>
      <c r="F45" s="1337">
        <f t="shared" si="3"/>
        <v>0</v>
      </c>
      <c r="G45" s="1337">
        <f t="shared" si="4"/>
        <v>0</v>
      </c>
      <c r="H45" s="87"/>
      <c r="I45" s="87"/>
      <c r="J45" s="569"/>
      <c r="K45" s="569"/>
      <c r="L45" s="569"/>
      <c r="M45" s="569"/>
      <c r="N45" s="87"/>
      <c r="O45" s="87"/>
      <c r="P45" s="87"/>
      <c r="Q45" s="87"/>
      <c r="R45" s="87"/>
      <c r="S45" s="87"/>
      <c r="T45" s="87"/>
      <c r="U45" s="87"/>
      <c r="V45" s="87"/>
      <c r="W45" s="87"/>
      <c r="X45" s="87"/>
      <c r="Y45" s="87"/>
    </row>
    <row r="46" spans="1:25" s="37" customFormat="1">
      <c r="A46" s="1334"/>
      <c r="B46" s="1338">
        <f t="shared" si="0"/>
        <v>2.5000000000000001E-2</v>
      </c>
      <c r="C46" s="1337">
        <f t="shared" si="0"/>
        <v>165.6</v>
      </c>
      <c r="D46" s="1337">
        <f t="shared" si="1"/>
        <v>15.599999999999994</v>
      </c>
      <c r="E46" s="1337">
        <f t="shared" si="2"/>
        <v>0</v>
      </c>
      <c r="F46" s="1337">
        <f t="shared" si="3"/>
        <v>15.599999999999994</v>
      </c>
      <c r="G46" s="1337">
        <f t="shared" si="4"/>
        <v>0</v>
      </c>
      <c r="H46" s="87"/>
      <c r="I46" s="87"/>
      <c r="J46" s="569"/>
      <c r="K46" s="569"/>
      <c r="L46" s="569"/>
      <c r="M46" s="569"/>
      <c r="N46" s="87"/>
      <c r="O46" s="87"/>
      <c r="P46" s="87"/>
      <c r="Q46" s="87"/>
      <c r="R46" s="87"/>
      <c r="S46" s="87"/>
      <c r="T46" s="87"/>
      <c r="U46" s="87"/>
      <c r="V46" s="87"/>
      <c r="W46" s="87"/>
      <c r="X46" s="87"/>
      <c r="Y46" s="87"/>
    </row>
    <row r="47" spans="1:25" s="37" customFormat="1">
      <c r="A47" s="1334"/>
      <c r="B47" s="1338">
        <f t="shared" si="0"/>
        <v>0.02</v>
      </c>
      <c r="C47" s="1337">
        <f t="shared" si="0"/>
        <v>175.8</v>
      </c>
      <c r="D47" s="1337">
        <f t="shared" si="1"/>
        <v>25.800000000000011</v>
      </c>
      <c r="E47" s="1337">
        <f t="shared" si="2"/>
        <v>0</v>
      </c>
      <c r="F47" s="1337">
        <f t="shared" si="3"/>
        <v>25.800000000000011</v>
      </c>
      <c r="G47" s="1337">
        <f t="shared" si="4"/>
        <v>0</v>
      </c>
      <c r="H47" s="87"/>
      <c r="I47" s="87"/>
      <c r="J47" s="569"/>
      <c r="K47" s="569"/>
      <c r="L47" s="569"/>
      <c r="M47" s="569"/>
      <c r="N47" s="87"/>
      <c r="O47" s="87"/>
      <c r="P47" s="87"/>
      <c r="Q47" s="87"/>
      <c r="R47" s="87"/>
      <c r="S47" s="87"/>
      <c r="T47" s="87"/>
      <c r="U47" s="87"/>
      <c r="V47" s="87"/>
      <c r="W47" s="87"/>
      <c r="X47" s="87"/>
      <c r="Y47" s="87"/>
    </row>
    <row r="48" spans="1:25" s="37" customFormat="1">
      <c r="A48" s="1334"/>
      <c r="B48" s="1338">
        <f t="shared" si="0"/>
        <v>0.02</v>
      </c>
      <c r="C48" s="1337">
        <f t="shared" si="0"/>
        <v>202.6</v>
      </c>
      <c r="D48" s="1337">
        <f t="shared" si="1"/>
        <v>52.599999999999994</v>
      </c>
      <c r="E48" s="1337">
        <f t="shared" si="2"/>
        <v>2.9899999999999962</v>
      </c>
      <c r="F48" s="1337">
        <f t="shared" si="3"/>
        <v>49.61</v>
      </c>
      <c r="G48" s="1337">
        <f t="shared" si="4"/>
        <v>0</v>
      </c>
      <c r="H48" s="87"/>
      <c r="I48" s="87"/>
      <c r="J48" s="569"/>
      <c r="K48" s="569"/>
      <c r="L48" s="569"/>
      <c r="M48" s="569"/>
      <c r="N48" s="87"/>
      <c r="O48" s="87"/>
      <c r="P48" s="87"/>
      <c r="Q48" s="87"/>
      <c r="R48" s="87"/>
      <c r="S48" s="87"/>
      <c r="T48" s="87"/>
      <c r="U48" s="87"/>
      <c r="V48" s="87"/>
      <c r="W48" s="87"/>
      <c r="X48" s="87"/>
      <c r="Y48" s="87"/>
    </row>
    <row r="49" spans="1:25" s="37" customFormat="1">
      <c r="A49" s="1334"/>
      <c r="B49" s="1338">
        <f t="shared" si="0"/>
        <v>1.4999999999999999E-2</v>
      </c>
      <c r="C49" s="1337">
        <f t="shared" si="0"/>
        <v>225.4</v>
      </c>
      <c r="D49" s="1337">
        <f t="shared" si="1"/>
        <v>75.400000000000006</v>
      </c>
      <c r="E49" s="1337">
        <f t="shared" si="2"/>
        <v>17.810000000000006</v>
      </c>
      <c r="F49" s="1337">
        <f t="shared" si="3"/>
        <v>57.59</v>
      </c>
      <c r="G49" s="1337">
        <f t="shared" si="4"/>
        <v>2.2030833176633635</v>
      </c>
      <c r="H49" s="87"/>
      <c r="I49" s="87"/>
      <c r="J49" s="569"/>
      <c r="K49" s="569"/>
      <c r="L49" s="569"/>
      <c r="M49" s="569"/>
      <c r="N49" s="87"/>
      <c r="O49" s="87"/>
      <c r="P49" s="87"/>
      <c r="Q49" s="87"/>
      <c r="R49" s="87"/>
      <c r="S49" s="87"/>
      <c r="T49" s="87"/>
      <c r="U49" s="87"/>
      <c r="V49" s="87"/>
      <c r="W49" s="87"/>
      <c r="X49" s="87"/>
      <c r="Y49" s="87"/>
    </row>
    <row r="50" spans="1:25" s="37" customFormat="1">
      <c r="A50" s="1334"/>
      <c r="B50" s="1338">
        <f t="shared" si="0"/>
        <v>1.4999999999999999E-2</v>
      </c>
      <c r="C50" s="1337">
        <f t="shared" si="0"/>
        <v>253.7</v>
      </c>
      <c r="D50" s="1337">
        <f t="shared" si="1"/>
        <v>100</v>
      </c>
      <c r="E50" s="1337">
        <f t="shared" si="2"/>
        <v>33.800000000000004</v>
      </c>
      <c r="F50" s="1337">
        <f t="shared" si="3"/>
        <v>66.199999999999989</v>
      </c>
      <c r="G50" s="1337">
        <f t="shared" si="4"/>
        <v>9.7087014347857945</v>
      </c>
      <c r="H50" s="87"/>
      <c r="I50" s="1340"/>
      <c r="J50" s="1339"/>
      <c r="K50" s="569"/>
      <c r="L50" s="569"/>
      <c r="M50" s="569"/>
      <c r="N50" s="87"/>
      <c r="O50" s="87"/>
      <c r="P50" s="87"/>
      <c r="Q50" s="87"/>
      <c r="R50" s="87"/>
      <c r="S50" s="87"/>
      <c r="T50" s="87"/>
      <c r="U50" s="87"/>
      <c r="V50" s="87"/>
      <c r="W50" s="87"/>
      <c r="X50" s="87"/>
      <c r="Y50" s="87"/>
    </row>
    <row r="51" spans="1:25" s="37" customFormat="1">
      <c r="A51" s="1334"/>
      <c r="B51" s="1338">
        <f t="shared" si="0"/>
        <v>0.01</v>
      </c>
      <c r="C51" s="1337">
        <f t="shared" si="0"/>
        <v>270.10000000000002</v>
      </c>
      <c r="D51" s="1337">
        <f t="shared" si="1"/>
        <v>100</v>
      </c>
      <c r="E51" s="1337">
        <f t="shared" si="2"/>
        <v>33.800000000000004</v>
      </c>
      <c r="F51" s="1337">
        <f t="shared" si="3"/>
        <v>66.199999999999989</v>
      </c>
      <c r="G51" s="1337">
        <f t="shared" si="4"/>
        <v>9.7087014347857945</v>
      </c>
      <c r="H51" s="87"/>
      <c r="I51" s="87"/>
      <c r="J51" s="569"/>
      <c r="K51" s="569"/>
      <c r="L51" s="569"/>
      <c r="M51" s="569"/>
      <c r="N51" s="87"/>
      <c r="O51" s="87"/>
      <c r="P51" s="87"/>
      <c r="Q51" s="87"/>
      <c r="R51" s="87"/>
      <c r="S51" s="87"/>
      <c r="T51" s="87"/>
      <c r="U51" s="87"/>
      <c r="V51" s="87"/>
      <c r="W51" s="87"/>
      <c r="X51" s="87"/>
      <c r="Y51" s="87"/>
    </row>
    <row r="52" spans="1:25" s="37" customFormat="1">
      <c r="A52" s="1334"/>
      <c r="B52" s="1338">
        <f t="shared" si="0"/>
        <v>0.01</v>
      </c>
      <c r="C52" s="1337">
        <f t="shared" si="0"/>
        <v>286.5</v>
      </c>
      <c r="D52" s="1337">
        <f t="shared" si="1"/>
        <v>100</v>
      </c>
      <c r="E52" s="1337">
        <f t="shared" si="2"/>
        <v>33.800000000000004</v>
      </c>
      <c r="F52" s="1337">
        <f t="shared" si="3"/>
        <v>66.199999999999989</v>
      </c>
      <c r="G52" s="1337">
        <f t="shared" si="4"/>
        <v>9.7087014347857945</v>
      </c>
      <c r="H52" s="87"/>
      <c r="I52" s="87"/>
      <c r="J52" s="569"/>
      <c r="K52" s="569"/>
      <c r="L52" s="569"/>
      <c r="M52" s="569"/>
      <c r="N52" s="87"/>
      <c r="O52" s="87"/>
      <c r="P52" s="87"/>
      <c r="Q52" s="87"/>
      <c r="R52" s="87"/>
      <c r="S52" s="87"/>
      <c r="T52" s="87"/>
      <c r="U52" s="87"/>
      <c r="V52" s="87"/>
      <c r="W52" s="87"/>
      <c r="X52" s="87"/>
      <c r="Y52" s="87"/>
    </row>
    <row r="53" spans="1:25" s="37" customFormat="1">
      <c r="A53" s="1334"/>
      <c r="B53" s="1338">
        <f t="shared" si="0"/>
        <v>5.0000000000000001E-3</v>
      </c>
      <c r="C53" s="1337">
        <f t="shared" si="0"/>
        <v>304.5</v>
      </c>
      <c r="D53" s="1337">
        <f t="shared" si="1"/>
        <v>100</v>
      </c>
      <c r="E53" s="1337">
        <f t="shared" si="2"/>
        <v>33.800000000000004</v>
      </c>
      <c r="F53" s="1337">
        <f t="shared" si="3"/>
        <v>66.199999999999989</v>
      </c>
      <c r="G53" s="1337">
        <f t="shared" si="4"/>
        <v>9.7087014347857945</v>
      </c>
      <c r="H53" s="87"/>
      <c r="I53" s="87"/>
      <c r="J53" s="569"/>
      <c r="K53" s="569"/>
      <c r="L53" s="569"/>
      <c r="M53" s="569"/>
      <c r="N53" s="87"/>
      <c r="O53" s="87"/>
      <c r="P53" s="87"/>
      <c r="Q53" s="87"/>
      <c r="R53" s="87"/>
      <c r="S53" s="87"/>
      <c r="T53" s="87"/>
      <c r="U53" s="87"/>
      <c r="V53" s="87"/>
      <c r="W53" s="87"/>
      <c r="X53" s="87"/>
      <c r="Y53" s="87"/>
    </row>
    <row r="54" spans="1:25" s="37" customFormat="1">
      <c r="A54" s="1334"/>
      <c r="B54" s="1338">
        <f t="shared" si="0"/>
        <v>5.0000000000000001E-3</v>
      </c>
      <c r="C54" s="1337">
        <f t="shared" si="0"/>
        <v>345.5</v>
      </c>
      <c r="D54" s="1337">
        <f t="shared" si="1"/>
        <v>100</v>
      </c>
      <c r="E54" s="1337">
        <f t="shared" si="2"/>
        <v>33.800000000000004</v>
      </c>
      <c r="F54" s="1337">
        <f t="shared" si="3"/>
        <v>66.199999999999989</v>
      </c>
      <c r="G54" s="1337">
        <f t="shared" si="4"/>
        <v>9.7087014347857945</v>
      </c>
      <c r="H54" s="87"/>
      <c r="I54" s="87"/>
      <c r="J54" s="569"/>
      <c r="K54" s="569"/>
      <c r="L54" s="569"/>
      <c r="M54" s="569"/>
      <c r="N54" s="87"/>
      <c r="O54" s="87"/>
      <c r="P54" s="87"/>
      <c r="Q54" s="87"/>
      <c r="R54" s="87"/>
      <c r="S54" s="87"/>
      <c r="T54" s="87"/>
      <c r="U54" s="87"/>
      <c r="V54" s="87"/>
      <c r="W54" s="87"/>
      <c r="X54" s="87"/>
      <c r="Y54" s="87"/>
    </row>
    <row r="55" spans="1:25" s="37" customFormat="1">
      <c r="A55" s="1334"/>
      <c r="B55" s="1336">
        <f>SUM(B40:B54)</f>
        <v>1.0000000000000002</v>
      </c>
      <c r="C55" s="1335"/>
      <c r="D55" s="1051"/>
      <c r="E55" s="1051"/>
      <c r="F55" s="1051"/>
      <c r="G55" s="1051"/>
      <c r="H55" s="87"/>
      <c r="I55" s="87"/>
      <c r="J55" s="569"/>
      <c r="K55" s="569"/>
      <c r="L55" s="569"/>
      <c r="M55" s="569"/>
      <c r="N55" s="87"/>
      <c r="O55" s="87"/>
      <c r="P55" s="87"/>
      <c r="Q55" s="87"/>
      <c r="R55" s="87"/>
      <c r="S55" s="87"/>
      <c r="T55" s="87"/>
      <c r="U55" s="87"/>
      <c r="V55" s="87"/>
      <c r="W55" s="87"/>
      <c r="X55" s="87"/>
      <c r="Y55" s="87"/>
    </row>
    <row r="56" spans="1:25" s="37" customFormat="1">
      <c r="A56" s="1334"/>
      <c r="B56" s="1333"/>
      <c r="C56" s="1333"/>
      <c r="D56" s="1325"/>
      <c r="E56" s="1325"/>
      <c r="F56" s="1325"/>
      <c r="G56" s="1325"/>
      <c r="H56" s="87"/>
      <c r="I56" s="87"/>
      <c r="J56" s="569"/>
      <c r="K56" s="569"/>
      <c r="L56" s="569"/>
      <c r="M56" s="569"/>
      <c r="N56" s="87"/>
      <c r="O56" s="87"/>
      <c r="P56" s="87"/>
      <c r="Q56" s="87"/>
      <c r="R56" s="87"/>
      <c r="S56" s="87"/>
      <c r="T56" s="87"/>
      <c r="U56" s="87"/>
      <c r="V56" s="87"/>
      <c r="W56" s="87"/>
      <c r="X56" s="87"/>
      <c r="Y56" s="87"/>
    </row>
    <row r="57" spans="1:25" s="37" customFormat="1">
      <c r="A57" s="455"/>
      <c r="B57" s="1332" t="s">
        <v>2226</v>
      </c>
      <c r="C57" s="1331">
        <f>F57*F58/F59</f>
        <v>9.7903711318814823E-3</v>
      </c>
      <c r="D57" s="1330" t="str">
        <f>IF(C57&lt;M37,"FAIL","PASS")</f>
        <v>FAIL</v>
      </c>
      <c r="E57" s="1327" t="s">
        <v>2056</v>
      </c>
      <c r="F57" s="1329">
        <f>SUMIF(G40:G54,"&gt;0",B40:B54)</f>
        <v>0.06</v>
      </c>
      <c r="G57" s="455"/>
      <c r="H57" s="87"/>
      <c r="I57" s="87"/>
      <c r="J57" s="569"/>
      <c r="K57" s="569"/>
      <c r="L57" s="569"/>
      <c r="M57" s="569"/>
      <c r="N57" s="87"/>
      <c r="O57" s="87"/>
      <c r="P57" s="87"/>
      <c r="Q57" s="87"/>
      <c r="R57" s="87"/>
      <c r="S57" s="87"/>
      <c r="T57" s="87"/>
      <c r="U57" s="87"/>
      <c r="V57" s="87"/>
      <c r="W57" s="87"/>
      <c r="X57" s="87"/>
      <c r="Y57" s="87"/>
    </row>
    <row r="58" spans="1:25" s="37" customFormat="1" ht="15.6" customHeight="1">
      <c r="A58" s="455"/>
      <c r="B58" s="1930" t="s">
        <v>2225</v>
      </c>
      <c r="C58" s="1930"/>
      <c r="D58" s="1930"/>
      <c r="E58" s="1327" t="s">
        <v>2224</v>
      </c>
      <c r="F58" s="1328">
        <f>SUMPRODUCT(B40:B54,G40:G54)/F57</f>
        <v>7.8322969055051868</v>
      </c>
      <c r="G58" s="455"/>
      <c r="H58" s="87"/>
      <c r="I58" s="87"/>
      <c r="J58" s="569"/>
      <c r="K58" s="569"/>
      <c r="L58" s="569"/>
      <c r="M58" s="569"/>
      <c r="N58" s="87"/>
      <c r="O58" s="87"/>
      <c r="P58" s="87"/>
      <c r="Q58" s="87"/>
      <c r="R58" s="87"/>
      <c r="S58" s="87"/>
      <c r="T58" s="87"/>
      <c r="U58" s="87"/>
      <c r="V58" s="87"/>
      <c r="W58" s="87"/>
      <c r="X58" s="87"/>
      <c r="Y58" s="87"/>
    </row>
    <row r="59" spans="1:25" customFormat="1">
      <c r="A59" s="1"/>
      <c r="B59" s="1930"/>
      <c r="C59" s="1930"/>
      <c r="D59" s="1930"/>
      <c r="E59" s="1327" t="s">
        <v>272</v>
      </c>
      <c r="F59" s="1326">
        <f>K7</f>
        <v>48</v>
      </c>
      <c r="G59" s="1325"/>
      <c r="H59" s="87"/>
      <c r="I59" s="87"/>
      <c r="J59" s="569"/>
      <c r="K59" s="569"/>
      <c r="L59" s="569"/>
      <c r="M59" s="569"/>
    </row>
    <row r="60" spans="1:25" customFormat="1">
      <c r="A60" s="569"/>
      <c r="B60" s="569"/>
      <c r="C60" s="569"/>
      <c r="D60" s="569"/>
      <c r="E60" s="569"/>
      <c r="F60" s="569"/>
      <c r="G60" s="569"/>
      <c r="H60" s="569"/>
      <c r="I60" s="569"/>
      <c r="J60" s="569"/>
      <c r="K60" s="569"/>
      <c r="L60" s="569"/>
      <c r="M60" s="569"/>
    </row>
    <row r="61" spans="1:25">
      <c r="A61" s="21"/>
      <c r="B61" s="1061"/>
      <c r="C61" s="1061"/>
      <c r="D61" s="1061"/>
      <c r="E61" s="1060"/>
      <c r="F61" s="1060"/>
      <c r="G61" s="21"/>
      <c r="H61" s="21"/>
      <c r="I61" s="21"/>
      <c r="J61" s="21"/>
      <c r="K61" s="21"/>
      <c r="L61" s="21"/>
      <c r="M61" s="2"/>
    </row>
    <row r="62" spans="1:25">
      <c r="A62" s="21" t="s">
        <v>2223</v>
      </c>
      <c r="B62" s="1061"/>
      <c r="C62" s="1061"/>
      <c r="D62" s="1061"/>
      <c r="E62" s="1060"/>
      <c r="F62" s="1060"/>
      <c r="G62" s="21"/>
      <c r="H62" s="21"/>
      <c r="I62" s="21"/>
      <c r="J62" s="21"/>
      <c r="K62" s="21"/>
      <c r="L62" s="21"/>
      <c r="M62" s="2"/>
    </row>
    <row r="63" spans="1:25">
      <c r="A63" s="21" t="s">
        <v>2222</v>
      </c>
      <c r="B63" s="1061"/>
      <c r="C63" s="1061"/>
      <c r="D63" s="1061"/>
      <c r="E63" s="1060"/>
      <c r="F63" s="1060"/>
      <c r="G63" s="21"/>
      <c r="H63" s="21"/>
      <c r="I63" s="21"/>
      <c r="J63" s="21"/>
      <c r="K63" s="21"/>
      <c r="L63" s="21"/>
      <c r="M63" s="2"/>
    </row>
    <row r="64" spans="1:25">
      <c r="A64" s="21"/>
      <c r="B64" s="1061"/>
      <c r="C64" s="1061"/>
      <c r="D64" s="1061"/>
      <c r="E64" s="1060"/>
      <c r="F64" s="1060"/>
      <c r="G64" s="21"/>
      <c r="H64" s="21"/>
      <c r="I64" s="21"/>
      <c r="J64" s="21"/>
      <c r="K64" s="21"/>
      <c r="L64" s="21"/>
      <c r="M64" s="2"/>
    </row>
    <row r="65" spans="1:25">
      <c r="A65" s="214" t="s">
        <v>7</v>
      </c>
      <c r="B65" s="1655" t="s">
        <v>2221</v>
      </c>
      <c r="C65" s="1655"/>
      <c r="D65" s="1655"/>
      <c r="E65" s="1655"/>
      <c r="F65" s="1655"/>
      <c r="G65" s="1655"/>
      <c r="H65" s="1655"/>
      <c r="I65" s="1655"/>
      <c r="J65" s="1655"/>
      <c r="K65" s="1655"/>
      <c r="L65" s="1655"/>
      <c r="M65" s="1655"/>
    </row>
    <row r="66" spans="1:25" ht="16.2">
      <c r="A66" s="21"/>
      <c r="B66" s="5" t="s">
        <v>64</v>
      </c>
      <c r="C66" s="5"/>
      <c r="D66" s="4"/>
      <c r="E66" s="4"/>
      <c r="F66" s="4"/>
      <c r="G66" s="4"/>
      <c r="H66" s="4"/>
      <c r="I66" s="3"/>
      <c r="J66" s="3"/>
      <c r="K66" s="2"/>
      <c r="L66" s="3"/>
      <c r="M66" s="2"/>
    </row>
    <row r="67" spans="1:25" s="317" customFormat="1">
      <c r="N67" s="1323"/>
      <c r="O67" s="1323"/>
      <c r="P67" s="1323"/>
      <c r="Q67" s="1323"/>
      <c r="R67" s="1323"/>
      <c r="S67" s="1323"/>
      <c r="T67" s="1323"/>
      <c r="U67" s="1323"/>
      <c r="V67" s="1323"/>
      <c r="W67" s="1323"/>
      <c r="X67" s="1323"/>
      <c r="Y67" s="1323"/>
    </row>
    <row r="68" spans="1:25" s="317" customFormat="1">
      <c r="B68" s="1324" t="s">
        <v>2220</v>
      </c>
      <c r="N68" s="1323"/>
      <c r="O68" s="1323"/>
      <c r="P68" s="1323"/>
      <c r="Q68" s="1323"/>
      <c r="R68" s="1323"/>
      <c r="S68" s="1323"/>
      <c r="T68" s="1323"/>
      <c r="U68" s="1323"/>
      <c r="V68" s="1323"/>
      <c r="W68" s="1323"/>
      <c r="X68" s="1323"/>
      <c r="Y68" s="1323"/>
    </row>
    <row r="69" spans="1:25" s="591" customFormat="1" ht="15.75" customHeight="1">
      <c r="A69" s="317"/>
      <c r="B69" s="317"/>
      <c r="C69" s="317"/>
      <c r="D69" s="317"/>
      <c r="E69" s="317"/>
      <c r="F69" s="317"/>
      <c r="G69" s="317"/>
      <c r="H69" s="317"/>
      <c r="I69" s="317"/>
      <c r="J69" s="317"/>
      <c r="K69" s="317"/>
      <c r="L69" s="317"/>
      <c r="M69" s="317"/>
    </row>
    <row r="70" spans="1:25" s="591" customFormat="1" ht="15.75" customHeight="1">
      <c r="A70" s="317"/>
      <c r="B70" s="317"/>
      <c r="C70" s="317"/>
      <c r="D70" s="317"/>
      <c r="E70" s="317"/>
      <c r="F70" s="317"/>
      <c r="G70" s="317"/>
      <c r="H70" s="317"/>
      <c r="I70" s="317"/>
      <c r="J70" s="317"/>
      <c r="K70" s="317"/>
      <c r="L70" s="317"/>
      <c r="M70" s="317"/>
    </row>
    <row r="71" spans="1:25" s="591" customFormat="1" ht="15.75" customHeight="1">
      <c r="A71" s="317"/>
      <c r="B71" s="317"/>
      <c r="C71" s="317"/>
      <c r="D71" s="317"/>
      <c r="E71" s="317"/>
      <c r="F71" s="317"/>
      <c r="G71" s="317"/>
      <c r="H71" s="317"/>
      <c r="I71" s="317"/>
      <c r="J71" s="317"/>
      <c r="K71" s="317"/>
      <c r="L71" s="317"/>
      <c r="M71" s="317"/>
    </row>
    <row r="72" spans="1:25" s="591" customFormat="1" ht="15.75" customHeight="1">
      <c r="A72" s="317"/>
      <c r="B72" s="317"/>
      <c r="C72" s="317"/>
      <c r="D72" s="317"/>
      <c r="E72" s="317"/>
      <c r="F72" s="317"/>
      <c r="G72" s="317"/>
      <c r="H72" s="317"/>
      <c r="I72" s="317"/>
      <c r="J72" s="317"/>
      <c r="K72" s="317"/>
      <c r="L72" s="317"/>
      <c r="M72" s="317"/>
    </row>
    <row r="73" spans="1:25" s="591" customFormat="1" ht="15.75" customHeight="1">
      <c r="A73" s="317"/>
      <c r="B73" s="317"/>
      <c r="C73" s="317"/>
      <c r="D73" s="317"/>
      <c r="E73" s="317"/>
      <c r="F73" s="317"/>
      <c r="G73" s="317"/>
      <c r="H73" s="317"/>
      <c r="I73" s="317"/>
      <c r="J73" s="317"/>
      <c r="K73" s="317"/>
      <c r="L73" s="317"/>
      <c r="M73" s="317"/>
    </row>
    <row r="74" spans="1:25" s="591" customFormat="1" ht="15.75" customHeight="1">
      <c r="A74" s="317"/>
      <c r="B74" s="317"/>
      <c r="C74" s="317"/>
      <c r="D74" s="317"/>
      <c r="E74" s="317"/>
      <c r="F74" s="317"/>
      <c r="G74" s="317"/>
      <c r="H74" s="317"/>
      <c r="I74" s="317"/>
      <c r="J74" s="317"/>
      <c r="K74" s="317"/>
      <c r="L74" s="317"/>
      <c r="M74" s="317"/>
    </row>
    <row r="75" spans="1:25" s="591" customFormat="1" ht="15.75" customHeight="1">
      <c r="A75" s="317"/>
      <c r="B75" s="317"/>
      <c r="C75" s="317"/>
      <c r="D75" s="317"/>
      <c r="E75" s="317"/>
      <c r="F75" s="317"/>
      <c r="G75" s="317"/>
      <c r="H75" s="317"/>
      <c r="I75" s="317"/>
      <c r="J75" s="317"/>
      <c r="K75" s="317"/>
      <c r="L75" s="317"/>
      <c r="M75" s="317"/>
    </row>
    <row r="76" spans="1:25" s="591" customFormat="1" ht="15.75" customHeight="1">
      <c r="A76" s="317"/>
      <c r="B76" s="317"/>
      <c r="C76" s="317"/>
      <c r="D76" s="317"/>
      <c r="E76" s="317"/>
      <c r="F76" s="317"/>
      <c r="G76" s="317"/>
      <c r="H76" s="317"/>
      <c r="I76" s="317"/>
      <c r="J76" s="317"/>
      <c r="K76" s="317"/>
      <c r="L76" s="317"/>
      <c r="M76" s="317"/>
      <c r="N76" s="1322"/>
      <c r="O76" s="1322"/>
      <c r="P76" s="1322"/>
      <c r="Q76" s="1322"/>
      <c r="R76" s="1322"/>
      <c r="S76" s="1322"/>
      <c r="T76" s="1322"/>
      <c r="U76" s="1322"/>
      <c r="V76" s="1322"/>
      <c r="W76" s="1322"/>
      <c r="X76" s="1322"/>
      <c r="Y76" s="1322"/>
    </row>
    <row r="77" spans="1:25" ht="15.75" customHeight="1">
      <c r="A77" s="317"/>
      <c r="B77" s="317"/>
      <c r="C77" s="317"/>
      <c r="D77" s="317"/>
      <c r="E77" s="317"/>
      <c r="F77" s="317"/>
      <c r="G77" s="317"/>
      <c r="H77" s="317"/>
      <c r="I77" s="317"/>
      <c r="J77" s="317"/>
      <c r="K77" s="317"/>
      <c r="L77" s="317"/>
      <c r="M77" s="317"/>
    </row>
    <row r="78" spans="1:25" ht="15.75" customHeight="1">
      <c r="A78" s="317"/>
      <c r="B78" s="317"/>
      <c r="C78" s="317"/>
      <c r="D78" s="317"/>
      <c r="E78" s="317"/>
      <c r="F78" s="317"/>
      <c r="G78" s="317"/>
      <c r="H78" s="317"/>
      <c r="I78" s="317"/>
      <c r="J78" s="317"/>
      <c r="K78" s="317"/>
      <c r="L78" s="317"/>
      <c r="M78" s="317"/>
    </row>
    <row r="79" spans="1:25" ht="15.75" customHeight="1"/>
    <row r="80" spans="1:25" ht="15.75" customHeight="1"/>
    <row r="81" ht="15.75" customHeight="1"/>
    <row r="82" ht="15.75" customHeight="1"/>
  </sheetData>
  <mergeCells count="5">
    <mergeCell ref="A4:M4"/>
    <mergeCell ref="B33:M33"/>
    <mergeCell ref="B36:K36"/>
    <mergeCell ref="B58:D59"/>
    <mergeCell ref="B65:M65"/>
  </mergeCell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F947-5BD3-4C00-8806-3A1E667A28DB}">
  <dimension ref="A1:M83"/>
  <sheetViews>
    <sheetView topLeftCell="B11" zoomScaleNormal="100" workbookViewId="0">
      <selection activeCell="B38" sqref="B38"/>
    </sheetView>
  </sheetViews>
  <sheetFormatPr defaultColWidth="8.88671875" defaultRowHeight="15.6"/>
  <cols>
    <col min="1" max="1" width="10.33203125" style="1" customWidth="1"/>
    <col min="2" max="4" width="15.33203125" style="1" customWidth="1"/>
    <col min="5" max="5" width="14.33203125" style="1" customWidth="1"/>
    <col min="6" max="6" width="14.5546875" style="1" customWidth="1"/>
    <col min="7" max="7" width="16.44140625" style="1" customWidth="1"/>
    <col min="8" max="8" width="16.6640625" style="1" customWidth="1"/>
    <col min="9" max="12" width="14.5546875" style="1" customWidth="1"/>
    <col min="13" max="13" width="10.44140625" style="1" customWidth="1"/>
    <col min="14" max="14" width="8.33203125" style="1" customWidth="1"/>
    <col min="15" max="15" width="8.88671875" style="1"/>
    <col min="16" max="16" width="18.33203125" style="1" bestFit="1" customWidth="1"/>
    <col min="17" max="17" width="10.33203125" style="1" customWidth="1"/>
    <col min="18" max="18" width="10.5546875" style="1" customWidth="1"/>
    <col min="19" max="16384" width="8.88671875" style="1"/>
  </cols>
  <sheetData>
    <row r="1" spans="1:13" ht="18">
      <c r="A1" s="23" t="s">
        <v>1343</v>
      </c>
      <c r="B1" s="22"/>
      <c r="C1" s="5" t="s">
        <v>38</v>
      </c>
      <c r="D1" s="22"/>
      <c r="E1" s="22"/>
      <c r="F1" s="22"/>
      <c r="G1" s="22"/>
      <c r="H1" s="22"/>
      <c r="I1" s="22"/>
      <c r="J1" s="22"/>
      <c r="K1" s="2"/>
      <c r="L1" s="2"/>
      <c r="M1" s="2"/>
    </row>
    <row r="2" spans="1:13" ht="16.2">
      <c r="A2" s="21"/>
      <c r="B2" s="3"/>
      <c r="C2" s="3"/>
      <c r="D2" s="3"/>
      <c r="E2" s="3"/>
      <c r="F2" s="3"/>
      <c r="G2" s="3"/>
      <c r="H2" s="19"/>
      <c r="I2" s="19"/>
      <c r="J2" s="4"/>
      <c r="K2" s="4"/>
      <c r="L2" s="4"/>
      <c r="M2" s="4"/>
    </row>
    <row r="3" spans="1:13" ht="31.2" customHeight="1">
      <c r="A3" s="1733" t="s">
        <v>2292</v>
      </c>
      <c r="B3" s="1733"/>
      <c r="C3" s="1733"/>
      <c r="D3" s="1733"/>
      <c r="E3" s="1733"/>
      <c r="F3" s="1733"/>
      <c r="G3" s="1733"/>
      <c r="H3" s="1733"/>
      <c r="I3" s="1733"/>
      <c r="J3" s="1733"/>
      <c r="K3" s="1733"/>
      <c r="L3" s="2"/>
      <c r="M3" s="2"/>
    </row>
    <row r="4" spans="1:13" ht="16.2">
      <c r="A4" s="5"/>
      <c r="B4" s="1779" t="s">
        <v>2291</v>
      </c>
      <c r="C4" s="1779"/>
      <c r="D4" s="1779" t="s">
        <v>2290</v>
      </c>
      <c r="E4" s="1779"/>
      <c r="F4" s="3"/>
      <c r="G4" s="2"/>
      <c r="H4" s="2"/>
      <c r="I4" s="2"/>
      <c r="J4" s="2"/>
      <c r="K4" s="2"/>
      <c r="L4" s="2"/>
      <c r="M4" s="2"/>
    </row>
    <row r="5" spans="1:13" ht="16.2">
      <c r="A5" s="5"/>
      <c r="B5" s="1780" t="s">
        <v>2289</v>
      </c>
      <c r="C5" s="1780"/>
      <c r="D5" s="1780" t="s">
        <v>2288</v>
      </c>
      <c r="E5" s="1780"/>
      <c r="F5" s="3"/>
      <c r="G5" s="2"/>
      <c r="H5" s="2"/>
      <c r="I5" s="2"/>
      <c r="J5" s="2"/>
      <c r="K5" s="2"/>
      <c r="L5" s="2"/>
      <c r="M5" s="2"/>
    </row>
    <row r="6" spans="1:13" ht="16.2">
      <c r="A6" s="5"/>
      <c r="B6" s="1780" t="s">
        <v>2287</v>
      </c>
      <c r="C6" s="1780"/>
      <c r="D6" s="1780" t="s">
        <v>2286</v>
      </c>
      <c r="E6" s="1780"/>
      <c r="F6" s="3"/>
      <c r="G6" s="2"/>
      <c r="H6" s="2"/>
      <c r="I6" s="2"/>
      <c r="J6" s="2"/>
      <c r="K6" s="2"/>
      <c r="L6" s="2"/>
      <c r="M6" s="2"/>
    </row>
    <row r="7" spans="1:13" ht="16.2">
      <c r="A7" s="5"/>
      <c r="B7" s="1780" t="s">
        <v>2285</v>
      </c>
      <c r="C7" s="1780"/>
      <c r="D7" s="1780" t="s">
        <v>2284</v>
      </c>
      <c r="E7" s="1780"/>
      <c r="F7" s="3"/>
      <c r="G7" s="2"/>
      <c r="H7" s="2"/>
      <c r="I7" s="2"/>
      <c r="J7" s="2"/>
      <c r="K7" s="2"/>
      <c r="L7" s="2"/>
      <c r="M7" s="2"/>
    </row>
    <row r="8" spans="1:13">
      <c r="A8" s="2"/>
      <c r="B8" s="163"/>
      <c r="C8" s="746"/>
      <c r="D8" s="3"/>
      <c r="E8" s="3"/>
      <c r="F8" s="3"/>
      <c r="G8" s="3"/>
      <c r="H8" s="3"/>
      <c r="I8" s="2"/>
      <c r="J8" s="2"/>
      <c r="K8" s="2"/>
      <c r="L8" s="2"/>
      <c r="M8" s="2"/>
    </row>
    <row r="9" spans="1:13">
      <c r="A9" s="3" t="s">
        <v>2283</v>
      </c>
      <c r="B9" s="163"/>
      <c r="C9" s="746"/>
      <c r="D9" s="3"/>
      <c r="E9" s="3"/>
      <c r="F9" s="3"/>
      <c r="G9" s="3"/>
      <c r="H9" s="3"/>
      <c r="I9" s="2"/>
      <c r="J9" s="2"/>
      <c r="K9" s="2"/>
      <c r="L9" s="2"/>
      <c r="M9" s="2"/>
    </row>
    <row r="10" spans="1:13">
      <c r="A10" s="3"/>
      <c r="B10" s="163"/>
      <c r="C10" s="746"/>
      <c r="D10" s="3"/>
      <c r="E10" s="3"/>
      <c r="F10" s="3"/>
      <c r="G10" s="3"/>
      <c r="H10" s="3"/>
      <c r="I10" s="2"/>
      <c r="J10" s="2"/>
      <c r="K10" s="2"/>
      <c r="L10" s="2"/>
      <c r="M10" s="2"/>
    </row>
    <row r="11" spans="1:13" ht="31.2" customHeight="1">
      <c r="A11" s="3"/>
      <c r="B11" s="83" t="s">
        <v>660</v>
      </c>
      <c r="C11" s="83" t="s">
        <v>2280</v>
      </c>
      <c r="D11" s="83" t="s">
        <v>2018</v>
      </c>
      <c r="E11" s="3"/>
      <c r="F11" s="3"/>
      <c r="G11" s="3"/>
      <c r="H11" s="3"/>
      <c r="I11" s="2"/>
      <c r="J11" s="2"/>
      <c r="K11" s="2"/>
      <c r="L11" s="2"/>
      <c r="M11" s="2"/>
    </row>
    <row r="12" spans="1:13">
      <c r="A12" s="3"/>
      <c r="B12" s="133" t="s">
        <v>1231</v>
      </c>
      <c r="C12" s="1086">
        <v>2500</v>
      </c>
      <c r="D12" s="1086">
        <v>1200</v>
      </c>
      <c r="E12" s="3"/>
      <c r="F12" s="3"/>
      <c r="G12" s="3"/>
      <c r="H12" s="3"/>
      <c r="I12" s="2"/>
      <c r="J12" s="2"/>
      <c r="K12" s="2"/>
      <c r="L12" s="2"/>
      <c r="M12" s="2"/>
    </row>
    <row r="13" spans="1:13">
      <c r="A13" s="3"/>
      <c r="B13" s="133" t="s">
        <v>1230</v>
      </c>
      <c r="C13" s="1086">
        <v>10000</v>
      </c>
      <c r="D13" s="1086">
        <v>8000</v>
      </c>
      <c r="E13" s="3"/>
      <c r="F13" s="3"/>
      <c r="G13" s="3"/>
      <c r="H13" s="3"/>
      <c r="I13" s="2"/>
      <c r="J13" s="2"/>
      <c r="K13" s="2"/>
      <c r="L13" s="2"/>
      <c r="M13" s="2"/>
    </row>
    <row r="14" spans="1:13">
      <c r="A14" s="3"/>
      <c r="B14" s="133" t="s">
        <v>1229</v>
      </c>
      <c r="C14" s="1086">
        <v>1000</v>
      </c>
      <c r="D14" s="1097">
        <v>400</v>
      </c>
      <c r="E14" s="3"/>
      <c r="F14" s="3"/>
      <c r="G14" s="3"/>
      <c r="H14" s="3"/>
      <c r="I14" s="2"/>
      <c r="J14" s="2"/>
      <c r="K14" s="2"/>
      <c r="L14" s="2"/>
      <c r="M14" s="2"/>
    </row>
    <row r="15" spans="1:13">
      <c r="A15" s="3"/>
      <c r="B15" s="133" t="s">
        <v>1781</v>
      </c>
      <c r="C15" s="1086">
        <v>4000</v>
      </c>
      <c r="D15" s="1086">
        <v>1600</v>
      </c>
      <c r="E15" s="3"/>
      <c r="F15" s="3"/>
      <c r="G15" s="3"/>
      <c r="H15" s="3"/>
      <c r="I15" s="2"/>
      <c r="J15" s="2"/>
      <c r="K15" s="2"/>
      <c r="L15" s="2"/>
      <c r="M15" s="2"/>
    </row>
    <row r="16" spans="1:13">
      <c r="A16" s="2"/>
      <c r="B16" s="133" t="s">
        <v>2282</v>
      </c>
      <c r="C16" s="1086">
        <v>8000</v>
      </c>
      <c r="D16" s="1086">
        <v>3000</v>
      </c>
      <c r="E16" s="3"/>
      <c r="F16" s="3"/>
      <c r="G16" s="3"/>
      <c r="H16" s="3"/>
      <c r="I16" s="2"/>
      <c r="J16" s="2"/>
      <c r="K16" s="2"/>
      <c r="L16" s="2"/>
      <c r="M16" s="2"/>
    </row>
    <row r="17" spans="1:13">
      <c r="A17" s="2"/>
      <c r="B17" s="696"/>
      <c r="C17" s="1357"/>
      <c r="D17" s="1357"/>
      <c r="E17" s="3"/>
      <c r="F17" s="3"/>
      <c r="G17" s="3"/>
      <c r="H17" s="3"/>
      <c r="I17" s="2"/>
      <c r="J17" s="2"/>
      <c r="K17" s="2"/>
      <c r="L17" s="2"/>
      <c r="M17" s="2"/>
    </row>
    <row r="18" spans="1:13">
      <c r="A18" s="3" t="s">
        <v>80</v>
      </c>
      <c r="B18" s="3" t="s">
        <v>2281</v>
      </c>
      <c r="C18" s="3"/>
      <c r="D18" s="3"/>
      <c r="E18" s="3"/>
      <c r="F18" s="3"/>
      <c r="G18" s="3"/>
      <c r="H18" s="3"/>
      <c r="I18" s="2"/>
      <c r="J18" s="2"/>
      <c r="K18" s="2"/>
      <c r="L18" s="2"/>
      <c r="M18" s="2"/>
    </row>
    <row r="19" spans="1:13" ht="16.2">
      <c r="A19" s="5"/>
      <c r="B19" s="5" t="s">
        <v>64</v>
      </c>
      <c r="C19" s="5"/>
      <c r="D19" s="4"/>
      <c r="E19" s="4"/>
      <c r="F19" s="3"/>
      <c r="G19" s="3"/>
      <c r="H19" s="2"/>
      <c r="I19" s="2"/>
      <c r="J19" s="2"/>
      <c r="K19" s="2"/>
      <c r="L19" s="2"/>
      <c r="M19" s="2"/>
    </row>
    <row r="20" spans="1:13">
      <c r="A20"/>
      <c r="B20"/>
      <c r="C20"/>
      <c r="D20"/>
      <c r="E20"/>
      <c r="F20"/>
      <c r="G20"/>
      <c r="H20"/>
      <c r="I20"/>
      <c r="J20"/>
      <c r="K20"/>
      <c r="L20"/>
      <c r="M20"/>
    </row>
    <row r="21" spans="1:13" ht="57.6">
      <c r="A21"/>
      <c r="B21" s="269" t="s">
        <v>660</v>
      </c>
      <c r="C21" s="269" t="s">
        <v>2280</v>
      </c>
      <c r="D21" s="269" t="s">
        <v>2018</v>
      </c>
      <c r="E21" s="269" t="s">
        <v>2279</v>
      </c>
      <c r="F21" s="269" t="s">
        <v>2278</v>
      </c>
      <c r="G21" s="1354" t="s">
        <v>2277</v>
      </c>
      <c r="H21" s="272" t="s">
        <v>2276</v>
      </c>
      <c r="I21" s="1354" t="s">
        <v>2275</v>
      </c>
      <c r="J21" s="272" t="s">
        <v>2274</v>
      </c>
      <c r="K21" s="1354" t="s">
        <v>2273</v>
      </c>
      <c r="L21"/>
      <c r="M21"/>
    </row>
    <row r="22" spans="1:13">
      <c r="A22"/>
      <c r="B22" s="269" t="str">
        <f t="shared" ref="B22:D26" si="0">B12</f>
        <v>A</v>
      </c>
      <c r="C22" s="266">
        <f t="shared" si="0"/>
        <v>2500</v>
      </c>
      <c r="D22" s="266">
        <f t="shared" si="0"/>
        <v>1200</v>
      </c>
      <c r="E22" s="266">
        <f>MIN(4*1000,MAX(0,(C22-1000)))</f>
        <v>1500</v>
      </c>
      <c r="F22" s="1356">
        <f>E22/C22</f>
        <v>0.6</v>
      </c>
      <c r="G22" s="266">
        <f>D22*F22</f>
        <v>720</v>
      </c>
      <c r="H22" s="266">
        <f>D22-G22</f>
        <v>480</v>
      </c>
      <c r="I22" s="266">
        <f>MIN(2000,MAX(0,H22-1000))</f>
        <v>0</v>
      </c>
      <c r="J22" s="266">
        <f>H22-I22</f>
        <v>480</v>
      </c>
      <c r="K22" s="266"/>
      <c r="L22"/>
      <c r="M22"/>
    </row>
    <row r="23" spans="1:13">
      <c r="A23"/>
      <c r="B23" s="269" t="str">
        <f t="shared" si="0"/>
        <v>B</v>
      </c>
      <c r="C23" s="266">
        <f t="shared" si="0"/>
        <v>10000</v>
      </c>
      <c r="D23" s="266">
        <f t="shared" si="0"/>
        <v>8000</v>
      </c>
      <c r="E23" s="266">
        <f>MIN(4*1000,MAX(0,(C23-1000)))</f>
        <v>4000</v>
      </c>
      <c r="F23" s="1356">
        <f>E23/C23</f>
        <v>0.4</v>
      </c>
      <c r="G23" s="266">
        <f>D23*F23</f>
        <v>3200</v>
      </c>
      <c r="H23" s="266">
        <f>D23-G23</f>
        <v>4800</v>
      </c>
      <c r="I23" s="266">
        <f>MIN(2000,MAX(0,H23-1000))</f>
        <v>2000</v>
      </c>
      <c r="J23" s="266">
        <f>H23-I23</f>
        <v>2800</v>
      </c>
      <c r="K23" s="266"/>
      <c r="L23"/>
      <c r="M23"/>
    </row>
    <row r="24" spans="1:13">
      <c r="A24"/>
      <c r="B24" s="269" t="str">
        <f t="shared" si="0"/>
        <v>C</v>
      </c>
      <c r="C24" s="266">
        <f t="shared" si="0"/>
        <v>1000</v>
      </c>
      <c r="D24" s="266">
        <f t="shared" si="0"/>
        <v>400</v>
      </c>
      <c r="E24" s="266">
        <f>MIN(4*1000,MAX(0,(C24-1000)))</f>
        <v>0</v>
      </c>
      <c r="F24" s="1356">
        <f>E24/C24</f>
        <v>0</v>
      </c>
      <c r="G24" s="266">
        <f>D24*F24</f>
        <v>0</v>
      </c>
      <c r="H24" s="266">
        <f>D24-G24</f>
        <v>400</v>
      </c>
      <c r="I24" s="266">
        <f>MIN(2000,MAX(0,H24-1000))</f>
        <v>0</v>
      </c>
      <c r="J24" s="266">
        <f>H24-I24</f>
        <v>400</v>
      </c>
      <c r="K24" s="266"/>
      <c r="L24"/>
      <c r="M24"/>
    </row>
    <row r="25" spans="1:13">
      <c r="A25"/>
      <c r="B25" s="269" t="str">
        <f t="shared" si="0"/>
        <v>D</v>
      </c>
      <c r="C25" s="266">
        <f t="shared" si="0"/>
        <v>4000</v>
      </c>
      <c r="D25" s="266">
        <f t="shared" si="0"/>
        <v>1600</v>
      </c>
      <c r="E25" s="266">
        <f>MIN(4*1000,MAX(0,(C25-1000)))</f>
        <v>3000</v>
      </c>
      <c r="F25" s="1356">
        <f>E25/C25</f>
        <v>0.75</v>
      </c>
      <c r="G25" s="266">
        <f>D25*F25</f>
        <v>1200</v>
      </c>
      <c r="H25" s="266">
        <f>D25-G25</f>
        <v>400</v>
      </c>
      <c r="I25" s="266">
        <f>MIN(2000,MAX(0,H25-1000))</f>
        <v>0</v>
      </c>
      <c r="J25" s="266">
        <f>H25-I25</f>
        <v>400</v>
      </c>
      <c r="K25" s="266"/>
      <c r="L25"/>
      <c r="M25"/>
    </row>
    <row r="26" spans="1:13">
      <c r="A26"/>
      <c r="B26" s="269" t="str">
        <f t="shared" si="0"/>
        <v>E</v>
      </c>
      <c r="C26" s="266">
        <f t="shared" si="0"/>
        <v>8000</v>
      </c>
      <c r="D26" s="266">
        <f t="shared" si="0"/>
        <v>3000</v>
      </c>
      <c r="E26" s="266">
        <f>MIN(4*1000,MAX(0,(C26-1000)))</f>
        <v>4000</v>
      </c>
      <c r="F26" s="1356">
        <f>E26/C26</f>
        <v>0.5</v>
      </c>
      <c r="G26" s="266">
        <f>D26*F26</f>
        <v>1500</v>
      </c>
      <c r="H26" s="266">
        <f>D26-G26</f>
        <v>1500</v>
      </c>
      <c r="I26" s="266">
        <f>MIN(2000,MAX(0,H26-1000))</f>
        <v>500</v>
      </c>
      <c r="J26" s="266">
        <f>H26-I26</f>
        <v>1000</v>
      </c>
      <c r="K26" s="266"/>
      <c r="L26"/>
      <c r="M26"/>
    </row>
    <row r="27" spans="1:13">
      <c r="A27"/>
      <c r="B27" s="269" t="s">
        <v>72</v>
      </c>
      <c r="C27" s="457"/>
      <c r="D27" s="457"/>
      <c r="E27" s="266"/>
      <c r="F27" s="266"/>
      <c r="G27" s="1352">
        <f>SUM(G22:G26)</f>
        <v>6620</v>
      </c>
      <c r="H27" s="266"/>
      <c r="I27" s="1352">
        <f>SUM(I22:I26)</f>
        <v>2500</v>
      </c>
      <c r="J27" s="266"/>
      <c r="K27" s="1352">
        <f>MIN(6000,MAX(0,SUM(J22:J26)-4000))</f>
        <v>1080</v>
      </c>
      <c r="L27"/>
      <c r="M27"/>
    </row>
    <row r="28" spans="1:13">
      <c r="A28"/>
      <c r="B28" s="125"/>
      <c r="C28"/>
      <c r="D28"/>
      <c r="E28" s="1355"/>
      <c r="F28" s="1081"/>
      <c r="G28" s="1355"/>
      <c r="H28" s="1081"/>
      <c r="I28" s="1355"/>
      <c r="J28" s="1081"/>
      <c r="K28" s="1355"/>
      <c r="L28"/>
      <c r="M28"/>
    </row>
    <row r="29" spans="1:13">
      <c r="A29"/>
      <c r="B29"/>
      <c r="C29"/>
      <c r="D29"/>
      <c r="E29"/>
      <c r="F29"/>
      <c r="G29"/>
      <c r="H29"/>
      <c r="I29"/>
      <c r="J29"/>
      <c r="K29"/>
      <c r="L29"/>
      <c r="M29"/>
    </row>
    <row r="30" spans="1:13">
      <c r="A30" s="3" t="s">
        <v>2272</v>
      </c>
      <c r="B30" s="163"/>
      <c r="C30" s="746"/>
      <c r="D30" s="3"/>
      <c r="E30" s="3"/>
      <c r="F30" s="3"/>
      <c r="G30" s="3"/>
      <c r="H30" s="3"/>
      <c r="I30" s="2"/>
      <c r="J30" s="2"/>
      <c r="K30" s="2"/>
      <c r="L30" s="2"/>
      <c r="M30" s="2"/>
    </row>
    <row r="31" spans="1:13">
      <c r="A31" s="3"/>
      <c r="B31" s="163"/>
      <c r="C31" s="746"/>
      <c r="D31" s="3"/>
      <c r="E31" s="3"/>
      <c r="F31" s="3"/>
      <c r="G31" s="3"/>
      <c r="H31" s="3"/>
      <c r="I31" s="2"/>
      <c r="J31" s="2"/>
      <c r="K31" s="2"/>
      <c r="L31" s="2"/>
      <c r="M31" s="2"/>
    </row>
    <row r="32" spans="1:13">
      <c r="A32" s="484" t="s">
        <v>2271</v>
      </c>
      <c r="B32" s="163"/>
      <c r="C32" s="13">
        <v>600</v>
      </c>
      <c r="D32" s="3" t="s">
        <v>1667</v>
      </c>
      <c r="E32" s="3"/>
      <c r="F32" s="3"/>
      <c r="G32" s="3"/>
      <c r="H32" s="3"/>
      <c r="I32" s="2"/>
      <c r="J32" s="2"/>
      <c r="K32" s="2"/>
      <c r="L32" s="2"/>
      <c r="M32" s="2"/>
    </row>
    <row r="33" spans="1:13">
      <c r="A33" s="484" t="s">
        <v>2270</v>
      </c>
      <c r="B33" s="163"/>
      <c r="C33" s="746"/>
      <c r="D33" s="675">
        <v>1.25</v>
      </c>
      <c r="E33" s="3" t="s">
        <v>2269</v>
      </c>
      <c r="F33" s="3"/>
      <c r="G33" s="3"/>
      <c r="H33" s="3"/>
      <c r="I33" s="2"/>
      <c r="J33" s="2"/>
      <c r="K33" s="2"/>
      <c r="L33" s="2"/>
      <c r="M33" s="2"/>
    </row>
    <row r="34" spans="1:13">
      <c r="A34" s="3"/>
      <c r="B34" s="163"/>
      <c r="C34" s="746"/>
      <c r="D34" s="3"/>
      <c r="E34" s="3"/>
      <c r="F34" s="3"/>
      <c r="G34" s="3"/>
      <c r="H34" s="3"/>
      <c r="I34" s="2"/>
      <c r="J34" s="2"/>
      <c r="K34" s="2"/>
      <c r="L34" s="2"/>
      <c r="M34" s="2"/>
    </row>
    <row r="35" spans="1:13">
      <c r="A35" s="3" t="s">
        <v>9</v>
      </c>
      <c r="B35" s="3" t="s">
        <v>2268</v>
      </c>
      <c r="C35" s="3"/>
      <c r="D35" s="3"/>
      <c r="E35" s="3"/>
      <c r="F35" s="3"/>
      <c r="G35" s="3"/>
      <c r="H35" s="3"/>
      <c r="I35" s="2"/>
      <c r="J35" s="2"/>
      <c r="K35" s="2"/>
      <c r="L35" s="2"/>
      <c r="M35" s="2"/>
    </row>
    <row r="36" spans="1:13" ht="16.2">
      <c r="A36" s="5"/>
      <c r="B36" s="5" t="s">
        <v>64</v>
      </c>
      <c r="C36" s="5"/>
      <c r="D36" s="4"/>
      <c r="E36" s="4"/>
      <c r="F36" s="3"/>
      <c r="G36" s="3"/>
      <c r="H36" s="2"/>
      <c r="I36" s="2"/>
      <c r="J36" s="2"/>
      <c r="K36" s="2"/>
      <c r="L36" s="2"/>
      <c r="M36" s="2"/>
    </row>
    <row r="37" spans="1:13">
      <c r="A37" s="460"/>
      <c r="B37"/>
      <c r="C37"/>
      <c r="D37"/>
      <c r="E37"/>
      <c r="F37"/>
      <c r="G37"/>
      <c r="H37"/>
      <c r="I37"/>
      <c r="J37"/>
      <c r="K37"/>
      <c r="L37"/>
      <c r="M37"/>
    </row>
    <row r="38" spans="1:13">
      <c r="A38" s="460"/>
      <c r="B38" s="1032">
        <f>D33*C32*K27/6000</f>
        <v>135</v>
      </c>
      <c r="C38"/>
      <c r="D38"/>
      <c r="E38"/>
      <c r="F38"/>
      <c r="G38"/>
      <c r="H38"/>
      <c r="I38"/>
      <c r="J38"/>
      <c r="K38"/>
      <c r="L38"/>
      <c r="M38"/>
    </row>
    <row r="39" spans="1:13">
      <c r="A39"/>
      <c r="B39"/>
      <c r="C39"/>
      <c r="D39"/>
      <c r="E39"/>
      <c r="F39"/>
      <c r="G39"/>
      <c r="H39"/>
      <c r="I39"/>
      <c r="J39"/>
      <c r="K39"/>
      <c r="L39"/>
      <c r="M39"/>
    </row>
    <row r="40" spans="1:13">
      <c r="A40" s="3" t="s">
        <v>2267</v>
      </c>
      <c r="B40" s="2"/>
      <c r="C40" s="2"/>
      <c r="D40" s="2"/>
      <c r="E40" s="2"/>
      <c r="F40" s="2"/>
      <c r="G40" s="2"/>
      <c r="H40" s="2"/>
      <c r="I40" s="2"/>
      <c r="J40" s="2"/>
      <c r="K40" s="2"/>
      <c r="L40" s="2"/>
      <c r="M40" s="2"/>
    </row>
    <row r="41" spans="1:13">
      <c r="A41" s="2"/>
      <c r="B41" s="2"/>
      <c r="C41" s="2"/>
      <c r="D41" s="2"/>
      <c r="E41" s="2"/>
      <c r="F41" s="2"/>
      <c r="G41" s="2"/>
      <c r="H41" s="2"/>
      <c r="I41" s="2"/>
      <c r="J41" s="2"/>
      <c r="K41" s="2"/>
      <c r="L41" s="2"/>
      <c r="M41" s="2"/>
    </row>
    <row r="42" spans="1:13">
      <c r="A42" s="2"/>
      <c r="B42" s="1780" t="s">
        <v>2266</v>
      </c>
      <c r="C42" s="1780"/>
      <c r="D42" s="1780"/>
      <c r="E42" s="10">
        <v>6000</v>
      </c>
      <c r="F42" s="2"/>
      <c r="G42" s="2"/>
      <c r="H42" s="2"/>
      <c r="I42" s="2"/>
      <c r="J42" s="2"/>
      <c r="K42" s="2"/>
      <c r="L42" s="2"/>
      <c r="M42" s="2"/>
    </row>
    <row r="43" spans="1:13">
      <c r="A43" s="2"/>
      <c r="B43" s="1780" t="s">
        <v>2265</v>
      </c>
      <c r="C43" s="1780"/>
      <c r="D43" s="1780"/>
      <c r="E43" s="10">
        <v>2000</v>
      </c>
      <c r="F43" s="2"/>
      <c r="G43" s="2"/>
      <c r="H43" s="2"/>
      <c r="I43" s="2"/>
      <c r="J43" s="2"/>
      <c r="K43" s="2"/>
      <c r="L43" s="2"/>
      <c r="M43" s="2"/>
    </row>
    <row r="44" spans="1:13">
      <c r="A44" s="2"/>
      <c r="B44" s="1780" t="s">
        <v>2264</v>
      </c>
      <c r="C44" s="1780"/>
      <c r="D44" s="1780"/>
      <c r="E44" s="10">
        <v>10000</v>
      </c>
      <c r="F44" s="2"/>
      <c r="G44" s="2"/>
      <c r="H44" s="2"/>
      <c r="I44" s="2"/>
      <c r="J44" s="2"/>
      <c r="K44" s="2"/>
      <c r="L44" s="2"/>
      <c r="M44" s="2"/>
    </row>
    <row r="45" spans="1:13">
      <c r="A45" s="2"/>
      <c r="B45" s="2"/>
      <c r="C45" s="2"/>
      <c r="D45" s="2"/>
      <c r="E45" s="2"/>
      <c r="F45" s="2"/>
      <c r="G45" s="2"/>
      <c r="H45" s="2"/>
      <c r="I45" s="2"/>
      <c r="J45" s="2"/>
      <c r="K45" s="2"/>
      <c r="L45" s="2"/>
      <c r="M45" s="2"/>
    </row>
    <row r="46" spans="1:13">
      <c r="A46" s="3" t="s">
        <v>2263</v>
      </c>
      <c r="B46" s="2"/>
      <c r="C46" s="2"/>
      <c r="D46" s="2"/>
      <c r="E46" s="2"/>
      <c r="F46" s="2"/>
      <c r="G46" s="2"/>
      <c r="H46" s="2"/>
      <c r="I46" s="2"/>
      <c r="J46" s="2"/>
      <c r="K46" s="2"/>
      <c r="L46" s="2"/>
      <c r="M46" s="2"/>
    </row>
    <row r="47" spans="1:13">
      <c r="A47" s="3"/>
      <c r="B47" s="2"/>
      <c r="C47" s="2"/>
      <c r="D47" s="2"/>
      <c r="E47" s="2"/>
      <c r="F47" s="2"/>
      <c r="G47" s="2"/>
      <c r="H47" s="2"/>
      <c r="I47" s="2"/>
      <c r="J47" s="2"/>
      <c r="K47" s="2"/>
      <c r="L47" s="2"/>
      <c r="M47" s="2"/>
    </row>
    <row r="48" spans="1:13" ht="31.2" customHeight="1">
      <c r="A48" s="3"/>
      <c r="B48" s="134" t="s">
        <v>2262</v>
      </c>
      <c r="C48" s="134" t="s">
        <v>2259</v>
      </c>
      <c r="D48" s="2"/>
      <c r="E48" s="2"/>
      <c r="F48" s="2"/>
      <c r="G48" s="2"/>
      <c r="H48" s="2"/>
      <c r="I48" s="2"/>
      <c r="J48" s="2"/>
      <c r="K48" s="2"/>
      <c r="L48" s="2"/>
      <c r="M48" s="2"/>
    </row>
    <row r="49" spans="1:13">
      <c r="A49" s="3"/>
      <c r="B49" s="133">
        <v>1</v>
      </c>
      <c r="C49" s="132">
        <v>10200</v>
      </c>
      <c r="D49" s="2"/>
      <c r="E49" s="2"/>
      <c r="F49" s="2"/>
      <c r="G49" s="2"/>
      <c r="H49" s="2"/>
      <c r="I49" s="2"/>
      <c r="J49" s="2"/>
      <c r="K49" s="2"/>
      <c r="L49" s="2"/>
      <c r="M49" s="2"/>
    </row>
    <row r="50" spans="1:13">
      <c r="A50" s="3"/>
      <c r="B50" s="133">
        <v>2</v>
      </c>
      <c r="C50" s="131">
        <v>800</v>
      </c>
      <c r="D50" s="2"/>
      <c r="E50" s="2"/>
      <c r="F50" s="2"/>
      <c r="G50" s="2"/>
      <c r="H50" s="2"/>
      <c r="I50" s="2"/>
      <c r="J50" s="2"/>
      <c r="K50" s="2"/>
      <c r="L50" s="2"/>
      <c r="M50" s="2"/>
    </row>
    <row r="51" spans="1:13">
      <c r="A51" s="3"/>
      <c r="B51" s="133">
        <v>3</v>
      </c>
      <c r="C51" s="132">
        <v>4900</v>
      </c>
      <c r="D51" s="2"/>
      <c r="E51" s="2"/>
      <c r="F51" s="2"/>
      <c r="G51" s="2"/>
      <c r="H51" s="2"/>
      <c r="I51" s="2"/>
      <c r="J51" s="2"/>
      <c r="K51" s="2"/>
      <c r="L51" s="2"/>
      <c r="M51" s="2"/>
    </row>
    <row r="52" spans="1:13">
      <c r="A52" s="3"/>
      <c r="B52" s="133">
        <v>4</v>
      </c>
      <c r="C52" s="132">
        <v>7000</v>
      </c>
      <c r="D52" s="2"/>
      <c r="E52" s="2"/>
      <c r="F52" s="2"/>
      <c r="G52" s="2"/>
      <c r="H52" s="2"/>
      <c r="I52" s="2"/>
      <c r="J52" s="2"/>
      <c r="K52" s="2"/>
      <c r="L52" s="2"/>
      <c r="M52" s="2"/>
    </row>
    <row r="53" spans="1:13">
      <c r="A53" s="2"/>
      <c r="B53" s="133">
        <v>5</v>
      </c>
      <c r="C53" s="132">
        <v>6500</v>
      </c>
      <c r="D53" s="2"/>
      <c r="E53" s="2"/>
      <c r="F53" s="2"/>
      <c r="G53" s="2"/>
      <c r="H53" s="2"/>
      <c r="I53" s="2"/>
      <c r="J53" s="2"/>
      <c r="K53" s="2"/>
      <c r="L53" s="2"/>
      <c r="M53" s="2"/>
    </row>
    <row r="54" spans="1:13">
      <c r="A54" s="2"/>
      <c r="B54" s="2"/>
      <c r="C54" s="2"/>
      <c r="D54" s="2"/>
      <c r="E54" s="2"/>
      <c r="F54" s="2"/>
      <c r="G54" s="2"/>
      <c r="H54" s="2"/>
      <c r="I54" s="2"/>
      <c r="J54" s="2"/>
      <c r="K54" s="2"/>
      <c r="L54" s="2"/>
      <c r="M54" s="2"/>
    </row>
    <row r="55" spans="1:13">
      <c r="A55" s="3" t="s">
        <v>7</v>
      </c>
      <c r="B55" s="3" t="s">
        <v>2261</v>
      </c>
      <c r="C55" s="3"/>
      <c r="D55" s="3"/>
      <c r="E55" s="3"/>
      <c r="F55" s="3"/>
      <c r="G55" s="3"/>
      <c r="H55" s="3"/>
      <c r="I55" s="2"/>
      <c r="J55" s="2"/>
      <c r="K55" s="2"/>
      <c r="L55" s="2"/>
      <c r="M55" s="2"/>
    </row>
    <row r="56" spans="1:13" ht="16.2">
      <c r="A56" s="5"/>
      <c r="B56" s="5" t="s">
        <v>64</v>
      </c>
      <c r="C56" s="5"/>
      <c r="D56" s="4"/>
      <c r="E56" s="4"/>
      <c r="F56" s="3"/>
      <c r="G56" s="3"/>
      <c r="H56" s="2"/>
      <c r="I56" s="2"/>
      <c r="J56" s="2"/>
      <c r="K56" s="2"/>
      <c r="L56" s="2"/>
      <c r="M56" s="2"/>
    </row>
    <row r="57" spans="1:13">
      <c r="A57"/>
      <c r="I57"/>
      <c r="J57"/>
      <c r="K57"/>
      <c r="L57"/>
      <c r="M57"/>
    </row>
    <row r="58" spans="1:13">
      <c r="A58"/>
      <c r="B58" t="s">
        <v>2260</v>
      </c>
      <c r="C58"/>
      <c r="D58"/>
      <c r="E58"/>
      <c r="F58"/>
      <c r="G58"/>
      <c r="H58"/>
      <c r="I58"/>
      <c r="J58"/>
      <c r="K58"/>
      <c r="L58"/>
      <c r="M58"/>
    </row>
    <row r="59" spans="1:13" ht="43.2">
      <c r="A59"/>
      <c r="B59" s="272" t="s">
        <v>1270</v>
      </c>
      <c r="C59" s="272" t="s">
        <v>2259</v>
      </c>
      <c r="D59" s="272" t="s">
        <v>2258</v>
      </c>
      <c r="E59" s="272" t="s">
        <v>2257</v>
      </c>
      <c r="F59" s="272" t="s">
        <v>2256</v>
      </c>
      <c r="G59" s="272" t="s">
        <v>2255</v>
      </c>
      <c r="H59" s="272" t="s">
        <v>2254</v>
      </c>
      <c r="I59" s="269" t="s">
        <v>2253</v>
      </c>
      <c r="J59" s="1354" t="s">
        <v>2252</v>
      </c>
      <c r="K59"/>
      <c r="L59"/>
      <c r="M59"/>
    </row>
    <row r="60" spans="1:13">
      <c r="A60"/>
      <c r="B60" s="1353">
        <f t="shared" ref="B60:C64" si="1">B49</f>
        <v>1</v>
      </c>
      <c r="C60" s="266">
        <f t="shared" si="1"/>
        <v>10200</v>
      </c>
      <c r="D60" s="266">
        <f>MIN(C49,$E$43)</f>
        <v>2000</v>
      </c>
      <c r="E60" s="266">
        <f>MIN($E$42,MAX(0,C60-$E$43))</f>
        <v>6000</v>
      </c>
      <c r="F60" s="266">
        <f>MAX(0,C60-($E$42+$E$43))</f>
        <v>2200</v>
      </c>
      <c r="G60" s="266">
        <f>E60</f>
        <v>6000</v>
      </c>
      <c r="H60" s="266">
        <f>MIN(G60,$E$44)</f>
        <v>6000</v>
      </c>
      <c r="I60" s="266">
        <f>H60</f>
        <v>6000</v>
      </c>
      <c r="J60" s="1352">
        <f>D60+F60+I60</f>
        <v>10200</v>
      </c>
      <c r="K60" s="1081"/>
      <c r="L60"/>
      <c r="M60"/>
    </row>
    <row r="61" spans="1:13">
      <c r="A61"/>
      <c r="B61" s="1353">
        <f t="shared" si="1"/>
        <v>2</v>
      </c>
      <c r="C61" s="266">
        <f t="shared" si="1"/>
        <v>800</v>
      </c>
      <c r="D61" s="266">
        <f>MIN(C50,$E$43)</f>
        <v>800</v>
      </c>
      <c r="E61" s="266">
        <f>MIN($E$42,MAX(0,C61-$E$43))</f>
        <v>0</v>
      </c>
      <c r="F61" s="266">
        <f>MAX(0,C61-($E$42+$E$43))</f>
        <v>0</v>
      </c>
      <c r="G61" s="266">
        <f>G60+E61</f>
        <v>6000</v>
      </c>
      <c r="H61" s="266">
        <f>MIN(G61,$E$44)</f>
        <v>6000</v>
      </c>
      <c r="I61" s="266">
        <f>H61-H60</f>
        <v>0</v>
      </c>
      <c r="J61" s="1352">
        <f>D61+F61+I61</f>
        <v>800</v>
      </c>
      <c r="K61" s="1081"/>
      <c r="L61"/>
      <c r="M61"/>
    </row>
    <row r="62" spans="1:13">
      <c r="A62"/>
      <c r="B62" s="1353">
        <f t="shared" si="1"/>
        <v>3</v>
      </c>
      <c r="C62" s="266">
        <f t="shared" si="1"/>
        <v>4900</v>
      </c>
      <c r="D62" s="266">
        <f>MIN(C51,$E$43)</f>
        <v>2000</v>
      </c>
      <c r="E62" s="266">
        <f>MIN($E$42,MAX(0,C62-$E$43))</f>
        <v>2900</v>
      </c>
      <c r="F62" s="266">
        <f>MAX(0,C62-($E$42+$E$43))</f>
        <v>0</v>
      </c>
      <c r="G62" s="266">
        <f>G61+E62</f>
        <v>8900</v>
      </c>
      <c r="H62" s="266">
        <f>MIN(G62,$E$44)</f>
        <v>8900</v>
      </c>
      <c r="I62" s="266">
        <f>H62-H61</f>
        <v>2900</v>
      </c>
      <c r="J62" s="1352">
        <f>D62+F62+I62</f>
        <v>4900</v>
      </c>
      <c r="K62" s="1081"/>
      <c r="L62"/>
      <c r="M62"/>
    </row>
    <row r="63" spans="1:13">
      <c r="A63"/>
      <c r="B63" s="1353">
        <f t="shared" si="1"/>
        <v>4</v>
      </c>
      <c r="C63" s="266">
        <f t="shared" si="1"/>
        <v>7000</v>
      </c>
      <c r="D63" s="266">
        <f>MIN(C52,$E$43)</f>
        <v>2000</v>
      </c>
      <c r="E63" s="266">
        <f>MIN($E$42,MAX(0,C63-$E$43))</f>
        <v>5000</v>
      </c>
      <c r="F63" s="266">
        <f>MAX(0,C63-($E$42+$E$43))</f>
        <v>0</v>
      </c>
      <c r="G63" s="266">
        <f>G62+E63</f>
        <v>13900</v>
      </c>
      <c r="H63" s="266">
        <f>MIN(G63,$E$44)</f>
        <v>10000</v>
      </c>
      <c r="I63" s="266">
        <f>H63-H62</f>
        <v>1100</v>
      </c>
      <c r="J63" s="1352">
        <f>D63+F63+I63</f>
        <v>3100</v>
      </c>
      <c r="K63" s="1081"/>
      <c r="L63"/>
      <c r="M63"/>
    </row>
    <row r="64" spans="1:13">
      <c r="A64"/>
      <c r="B64" s="1353">
        <f t="shared" si="1"/>
        <v>5</v>
      </c>
      <c r="C64" s="266">
        <f t="shared" si="1"/>
        <v>6500</v>
      </c>
      <c r="D64" s="266">
        <f>MIN(C53,$E$43)</f>
        <v>2000</v>
      </c>
      <c r="E64" s="266">
        <f>MIN($E$42,MAX(0,C64-$E$43))</f>
        <v>4500</v>
      </c>
      <c r="F64" s="266">
        <f>MAX(0,C64-($E$42+$E$43))</f>
        <v>0</v>
      </c>
      <c r="G64" s="266">
        <f>G63+E64</f>
        <v>18400</v>
      </c>
      <c r="H64" s="266">
        <f>MIN(G64,$E$44)</f>
        <v>10000</v>
      </c>
      <c r="I64" s="266">
        <f>H64-H63</f>
        <v>0</v>
      </c>
      <c r="J64" s="1352">
        <f>D64+F64+I64</f>
        <v>2000</v>
      </c>
      <c r="K64" s="1081"/>
      <c r="L64"/>
      <c r="M64"/>
    </row>
    <row r="65" spans="1:13">
      <c r="A65"/>
      <c r="B65" s="269" t="s">
        <v>72</v>
      </c>
      <c r="C65" s="266">
        <f>SUM(C60:C64)</f>
        <v>29400</v>
      </c>
      <c r="D65" s="266">
        <f>SUM(D60:D64)</f>
        <v>8800</v>
      </c>
      <c r="E65" s="266">
        <f>SUM(E60:E64)</f>
        <v>18400</v>
      </c>
      <c r="F65" s="266">
        <f>SUM(F60:F64)</f>
        <v>2200</v>
      </c>
      <c r="G65" s="266"/>
      <c r="H65" s="266"/>
      <c r="I65" s="266">
        <f>SUM(I60:I64)</f>
        <v>10000</v>
      </c>
      <c r="J65" s="1352">
        <f>SUM(J60:J64)</f>
        <v>21000</v>
      </c>
      <c r="K65"/>
      <c r="L65"/>
      <c r="M65"/>
    </row>
    <row r="66" spans="1:13">
      <c r="A66"/>
      <c r="B66"/>
      <c r="K66" s="1081"/>
      <c r="L66"/>
      <c r="M66"/>
    </row>
    <row r="67" spans="1:13">
      <c r="A67"/>
      <c r="B67"/>
      <c r="C67"/>
      <c r="D67"/>
      <c r="E67"/>
      <c r="F67"/>
      <c r="G67"/>
      <c r="H67"/>
      <c r="I67"/>
      <c r="J67"/>
      <c r="K67"/>
      <c r="L67"/>
      <c r="M67"/>
    </row>
    <row r="68" spans="1:13">
      <c r="A68"/>
      <c r="B68"/>
      <c r="C68"/>
      <c r="D68"/>
      <c r="E68"/>
      <c r="F68"/>
      <c r="G68"/>
      <c r="H68"/>
      <c r="I68"/>
      <c r="J68"/>
      <c r="K68"/>
      <c r="L68"/>
      <c r="M68"/>
    </row>
    <row r="69" spans="1:13">
      <c r="A69"/>
      <c r="B69"/>
      <c r="C69"/>
      <c r="D69"/>
      <c r="E69"/>
      <c r="F69"/>
      <c r="G69"/>
      <c r="H69"/>
      <c r="I69"/>
      <c r="J69"/>
      <c r="K69"/>
      <c r="L69"/>
      <c r="M69"/>
    </row>
    <row r="70" spans="1:13">
      <c r="A70"/>
      <c r="B70"/>
      <c r="C70"/>
      <c r="D70"/>
      <c r="E70"/>
      <c r="F70"/>
      <c r="G70"/>
      <c r="H70"/>
      <c r="I70"/>
      <c r="J70"/>
      <c r="K70"/>
      <c r="L70"/>
      <c r="M70"/>
    </row>
    <row r="71" spans="1:13">
      <c r="A71"/>
      <c r="B71"/>
      <c r="C71"/>
      <c r="D71"/>
      <c r="E71"/>
      <c r="F71"/>
      <c r="G71"/>
      <c r="H71"/>
      <c r="I71"/>
      <c r="J71"/>
      <c r="K71"/>
      <c r="L71"/>
      <c r="M71"/>
    </row>
    <row r="72" spans="1:13">
      <c r="A72"/>
      <c r="B72"/>
      <c r="C72"/>
      <c r="D72"/>
      <c r="E72"/>
      <c r="F72"/>
      <c r="G72"/>
      <c r="H72"/>
      <c r="I72"/>
      <c r="J72"/>
      <c r="K72"/>
      <c r="L72"/>
      <c r="M72"/>
    </row>
    <row r="73" spans="1:13">
      <c r="A73"/>
      <c r="B73"/>
      <c r="C73"/>
      <c r="D73"/>
      <c r="E73"/>
      <c r="F73"/>
      <c r="G73"/>
      <c r="H73"/>
      <c r="I73"/>
      <c r="J73"/>
      <c r="K73"/>
      <c r="L73"/>
      <c r="M73"/>
    </row>
    <row r="74" spans="1:13">
      <c r="A74"/>
      <c r="B74"/>
      <c r="C74"/>
      <c r="D74"/>
      <c r="E74"/>
      <c r="F74"/>
      <c r="G74"/>
      <c r="H74"/>
      <c r="I74"/>
      <c r="J74"/>
      <c r="K74"/>
      <c r="L74"/>
      <c r="M74"/>
    </row>
    <row r="75" spans="1:13">
      <c r="A75"/>
      <c r="B75"/>
      <c r="C75"/>
      <c r="D75"/>
      <c r="E75"/>
      <c r="F75"/>
      <c r="G75"/>
      <c r="H75"/>
      <c r="I75"/>
      <c r="J75"/>
      <c r="K75"/>
      <c r="L75"/>
      <c r="M75"/>
    </row>
    <row r="76" spans="1:13">
      <c r="A76"/>
      <c r="B76"/>
      <c r="C76"/>
      <c r="D76"/>
      <c r="E76"/>
      <c r="F76"/>
      <c r="G76"/>
      <c r="H76"/>
      <c r="I76"/>
      <c r="J76"/>
      <c r="K76"/>
      <c r="L76"/>
      <c r="M76"/>
    </row>
    <row r="77" spans="1:13">
      <c r="A77"/>
      <c r="B77"/>
      <c r="C77"/>
      <c r="D77"/>
      <c r="E77"/>
      <c r="F77"/>
      <c r="G77"/>
      <c r="H77"/>
      <c r="I77"/>
      <c r="J77"/>
      <c r="K77"/>
      <c r="L77"/>
      <c r="M77"/>
    </row>
    <row r="78" spans="1:13">
      <c r="A78"/>
      <c r="B78"/>
      <c r="C78"/>
      <c r="D78"/>
      <c r="E78"/>
      <c r="F78"/>
      <c r="G78"/>
      <c r="H78"/>
      <c r="I78"/>
      <c r="J78"/>
      <c r="K78"/>
      <c r="L78"/>
      <c r="M78"/>
    </row>
    <row r="79" spans="1:13">
      <c r="A79"/>
      <c r="B79"/>
      <c r="C79"/>
      <c r="D79"/>
      <c r="E79"/>
      <c r="F79"/>
      <c r="G79"/>
      <c r="H79"/>
      <c r="I79"/>
      <c r="J79"/>
      <c r="K79"/>
      <c r="L79"/>
      <c r="M79"/>
    </row>
    <row r="80" spans="1:13">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sheetData>
  <mergeCells count="12">
    <mergeCell ref="B7:C7"/>
    <mergeCell ref="D7:E7"/>
    <mergeCell ref="B42:D42"/>
    <mergeCell ref="B43:D43"/>
    <mergeCell ref="B44:D44"/>
    <mergeCell ref="B6:C6"/>
    <mergeCell ref="D6:E6"/>
    <mergeCell ref="A3:K3"/>
    <mergeCell ref="B4:C4"/>
    <mergeCell ref="D4:E4"/>
    <mergeCell ref="B5:C5"/>
    <mergeCell ref="D5:E5"/>
  </mergeCells>
  <pageMargins left="0.7" right="0.7" top="0.75" bottom="0.75" header="0.3" footer="0.3"/>
  <pageSetup orientation="portrait" horizontalDpi="0"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20300-66E7-4DF8-86FA-41BB35D03EAF}">
  <dimension ref="A1:O89"/>
  <sheetViews>
    <sheetView zoomScaleNormal="100" workbookViewId="0">
      <selection activeCell="B38" sqref="B38"/>
    </sheetView>
  </sheetViews>
  <sheetFormatPr defaultColWidth="8.88671875" defaultRowHeight="15.6"/>
  <cols>
    <col min="1" max="1" width="8.88671875" style="1"/>
    <col min="2" max="11" width="14.5546875" style="1" customWidth="1"/>
    <col min="12" max="12" width="14.6640625" style="1" bestFit="1" customWidth="1"/>
    <col min="13" max="13" width="15" style="1" bestFit="1" customWidth="1"/>
    <col min="14" max="14" width="16.44140625" style="1" bestFit="1" customWidth="1"/>
    <col min="16" max="16" width="18.33203125" style="1" bestFit="1" customWidth="1"/>
    <col min="17" max="17" width="10.33203125" style="1" customWidth="1"/>
    <col min="18" max="18" width="10.5546875" style="1" customWidth="1"/>
    <col min="19" max="16384" width="8.88671875" style="1"/>
  </cols>
  <sheetData>
    <row r="1" spans="1:15" ht="18">
      <c r="A1" s="23" t="s">
        <v>1472</v>
      </c>
      <c r="B1" s="22"/>
      <c r="C1" s="5" t="s">
        <v>38</v>
      </c>
      <c r="D1" s="22"/>
      <c r="E1" s="22"/>
      <c r="F1" s="22"/>
      <c r="G1" s="22"/>
      <c r="H1" s="22"/>
      <c r="I1" s="22"/>
      <c r="J1" s="22"/>
      <c r="K1" s="2"/>
      <c r="L1" s="2"/>
      <c r="M1" s="2"/>
      <c r="O1" s="1"/>
    </row>
    <row r="2" spans="1:15" ht="16.2">
      <c r="A2" s="21"/>
      <c r="B2" s="3"/>
      <c r="C2" s="3"/>
      <c r="D2" s="3"/>
      <c r="E2" s="3"/>
      <c r="F2" s="3"/>
      <c r="G2" s="3"/>
      <c r="H2" s="19"/>
      <c r="I2" s="19"/>
      <c r="J2" s="4"/>
      <c r="K2" s="4"/>
      <c r="L2" s="4"/>
      <c r="M2" s="2"/>
      <c r="O2" s="1"/>
    </row>
    <row r="3" spans="1:15" ht="31.2" customHeight="1">
      <c r="A3" s="1733" t="s">
        <v>2321</v>
      </c>
      <c r="B3" s="1733"/>
      <c r="C3" s="1733"/>
      <c r="D3" s="1733"/>
      <c r="E3" s="1733"/>
      <c r="F3" s="1733"/>
      <c r="G3" s="1733"/>
      <c r="H3" s="1733"/>
      <c r="I3" s="1733"/>
      <c r="J3" s="1733"/>
      <c r="K3" s="1733"/>
      <c r="L3" s="2"/>
      <c r="M3" s="2"/>
      <c r="O3" s="1"/>
    </row>
    <row r="4" spans="1:15">
      <c r="A4" s="3" t="s">
        <v>1254</v>
      </c>
      <c r="B4" s="3"/>
      <c r="C4" s="3"/>
      <c r="D4" s="3"/>
      <c r="E4" s="3"/>
      <c r="F4" s="3"/>
      <c r="G4" s="2"/>
      <c r="H4" s="2"/>
      <c r="I4" s="2"/>
      <c r="J4" s="2"/>
      <c r="K4" s="2"/>
      <c r="L4" s="2"/>
      <c r="M4" s="2"/>
      <c r="O4" s="1"/>
    </row>
    <row r="5" spans="1:15">
      <c r="A5" s="3"/>
      <c r="B5" s="3"/>
      <c r="C5" s="3"/>
      <c r="D5" s="3"/>
      <c r="E5" s="3"/>
      <c r="F5" s="3"/>
      <c r="G5" s="2"/>
      <c r="H5" s="2"/>
      <c r="I5" s="2"/>
      <c r="J5" s="2"/>
      <c r="K5" s="2"/>
      <c r="L5" s="2"/>
      <c r="M5" s="2"/>
      <c r="O5" s="1"/>
    </row>
    <row r="6" spans="1:15" ht="15.6" customHeight="1">
      <c r="A6" s="1284"/>
      <c r="B6" s="1872" t="s">
        <v>2076</v>
      </c>
      <c r="C6" s="1872" t="s">
        <v>31</v>
      </c>
      <c r="D6" s="1872" t="s">
        <v>2320</v>
      </c>
      <c r="E6" s="1872"/>
      <c r="F6" s="1284"/>
      <c r="G6" s="2"/>
      <c r="H6" s="2"/>
      <c r="I6" s="2"/>
      <c r="J6" s="2"/>
      <c r="K6" s="2"/>
      <c r="L6" s="2"/>
      <c r="M6" s="2"/>
      <c r="O6" s="1"/>
    </row>
    <row r="7" spans="1:15">
      <c r="A7" s="163"/>
      <c r="B7" s="1872"/>
      <c r="C7" s="1872"/>
      <c r="D7" s="1872"/>
      <c r="E7" s="1872"/>
      <c r="F7" s="74"/>
      <c r="G7" s="2"/>
      <c r="H7" s="2"/>
      <c r="I7" s="2"/>
      <c r="J7" s="2"/>
      <c r="K7" s="2"/>
      <c r="L7" s="2"/>
      <c r="M7" s="2"/>
      <c r="O7" s="1"/>
    </row>
    <row r="8" spans="1:15">
      <c r="A8" s="163"/>
      <c r="B8" s="470">
        <v>1</v>
      </c>
      <c r="C8" s="470">
        <v>2019</v>
      </c>
      <c r="D8" s="1931">
        <v>900000</v>
      </c>
      <c r="E8" s="1931"/>
      <c r="F8" s="74"/>
      <c r="G8" s="2"/>
      <c r="H8" s="2"/>
      <c r="I8" s="2"/>
      <c r="J8" s="2"/>
      <c r="K8" s="2"/>
      <c r="L8" s="2"/>
      <c r="M8" s="2"/>
      <c r="O8" s="1"/>
    </row>
    <row r="9" spans="1:15">
      <c r="A9" s="163"/>
      <c r="B9" s="470">
        <v>2</v>
      </c>
      <c r="C9" s="470">
        <v>2019</v>
      </c>
      <c r="D9" s="1931">
        <v>2900000</v>
      </c>
      <c r="E9" s="1931"/>
      <c r="F9" s="74"/>
      <c r="G9" s="2"/>
      <c r="H9" s="2"/>
      <c r="I9" s="2"/>
      <c r="J9" s="2"/>
      <c r="K9" s="2"/>
      <c r="L9" s="2"/>
      <c r="M9" s="2"/>
      <c r="O9" s="1"/>
    </row>
    <row r="10" spans="1:15">
      <c r="A10" s="163"/>
      <c r="B10" s="470">
        <v>3</v>
      </c>
      <c r="C10" s="470">
        <v>2020</v>
      </c>
      <c r="D10" s="1931">
        <v>1600000</v>
      </c>
      <c r="E10" s="1931"/>
      <c r="F10" s="74"/>
      <c r="G10" s="2"/>
      <c r="H10" s="2"/>
      <c r="I10" s="2"/>
      <c r="J10" s="2"/>
      <c r="K10" s="2"/>
      <c r="L10" s="2"/>
      <c r="M10" s="2"/>
      <c r="O10" s="1"/>
    </row>
    <row r="11" spans="1:15">
      <c r="A11" s="163"/>
      <c r="B11" s="470">
        <v>4</v>
      </c>
      <c r="C11" s="470">
        <v>2020</v>
      </c>
      <c r="D11" s="1931">
        <v>800000</v>
      </c>
      <c r="E11" s="1931"/>
      <c r="F11" s="74"/>
      <c r="G11" s="2"/>
      <c r="H11" s="2"/>
      <c r="I11" s="2"/>
      <c r="J11" s="2"/>
      <c r="K11" s="2"/>
      <c r="L11" s="2"/>
      <c r="M11" s="2"/>
      <c r="O11" s="1"/>
    </row>
    <row r="12" spans="1:15">
      <c r="A12" s="163"/>
      <c r="B12" s="470">
        <v>5</v>
      </c>
      <c r="C12" s="470">
        <v>2021</v>
      </c>
      <c r="D12" s="1931">
        <v>700000</v>
      </c>
      <c r="E12" s="1931"/>
      <c r="F12" s="74"/>
      <c r="G12" s="2"/>
      <c r="H12" s="2"/>
      <c r="I12" s="2"/>
      <c r="J12" s="2"/>
      <c r="K12" s="2"/>
      <c r="L12" s="2"/>
      <c r="M12" s="2"/>
      <c r="O12" s="1"/>
    </row>
    <row r="13" spans="1:15">
      <c r="A13" s="163"/>
      <c r="B13" s="470">
        <v>6</v>
      </c>
      <c r="C13" s="470">
        <v>2021</v>
      </c>
      <c r="D13" s="1931">
        <v>2000000</v>
      </c>
      <c r="E13" s="1931"/>
      <c r="F13" s="74"/>
      <c r="G13" s="2"/>
      <c r="H13" s="2"/>
      <c r="I13" s="2"/>
      <c r="J13" s="2"/>
      <c r="K13" s="2"/>
      <c r="L13" s="2"/>
      <c r="M13" s="2"/>
      <c r="O13" s="1"/>
    </row>
    <row r="14" spans="1:15">
      <c r="A14" s="163"/>
      <c r="B14" s="470">
        <v>7</v>
      </c>
      <c r="C14" s="470">
        <v>2022</v>
      </c>
      <c r="D14" s="1931">
        <v>1800000</v>
      </c>
      <c r="E14" s="1931"/>
      <c r="F14" s="74"/>
      <c r="G14" s="2"/>
      <c r="H14" s="2"/>
      <c r="I14" s="2"/>
      <c r="J14" s="2"/>
      <c r="K14" s="2"/>
      <c r="L14" s="2"/>
      <c r="M14" s="2"/>
      <c r="O14" s="1"/>
    </row>
    <row r="15" spans="1:15">
      <c r="A15" s="163"/>
      <c r="B15" s="470">
        <v>8</v>
      </c>
      <c r="C15" s="470">
        <v>2022</v>
      </c>
      <c r="D15" s="1931">
        <v>1400000</v>
      </c>
      <c r="E15" s="1931"/>
      <c r="F15" s="74"/>
      <c r="G15" s="2"/>
      <c r="H15" s="2"/>
      <c r="I15" s="2"/>
      <c r="J15" s="2"/>
      <c r="K15" s="2"/>
      <c r="L15" s="2"/>
      <c r="M15" s="2"/>
      <c r="O15" s="1"/>
    </row>
    <row r="16" spans="1:15">
      <c r="A16" s="2"/>
      <c r="B16" s="163"/>
      <c r="C16" s="746"/>
      <c r="D16" s="3"/>
      <c r="E16" s="3"/>
      <c r="F16" s="3"/>
      <c r="G16" s="3"/>
      <c r="H16" s="3"/>
      <c r="I16" s="2"/>
      <c r="J16" s="2"/>
      <c r="K16" s="2"/>
      <c r="L16" s="2"/>
      <c r="M16" s="2"/>
      <c r="O16" s="1"/>
    </row>
    <row r="17" spans="1:15" ht="15.6" customHeight="1">
      <c r="A17" s="2"/>
      <c r="B17" s="3"/>
      <c r="C17" s="1671" t="s">
        <v>2319</v>
      </c>
      <c r="D17" s="1671" t="s">
        <v>2318</v>
      </c>
      <c r="E17" s="1671"/>
      <c r="F17" s="3"/>
      <c r="G17" s="3"/>
      <c r="H17" s="3"/>
      <c r="I17" s="2"/>
      <c r="J17" s="2"/>
      <c r="K17" s="2"/>
      <c r="L17" s="2"/>
      <c r="M17" s="2"/>
      <c r="O17" s="1"/>
    </row>
    <row r="18" spans="1:15">
      <c r="A18" s="2"/>
      <c r="B18" s="3"/>
      <c r="C18" s="1671"/>
      <c r="D18" s="1671"/>
      <c r="E18" s="1671"/>
      <c r="F18" s="3"/>
      <c r="G18" s="3"/>
      <c r="H18" s="3"/>
      <c r="I18" s="2"/>
      <c r="J18" s="2"/>
      <c r="K18" s="2"/>
      <c r="L18" s="2"/>
      <c r="M18" s="2"/>
      <c r="O18" s="1"/>
    </row>
    <row r="19" spans="1:15">
      <c r="A19" s="2"/>
      <c r="B19" s="3"/>
      <c r="C19" s="470">
        <v>2019</v>
      </c>
      <c r="D19" s="1931">
        <v>15000000</v>
      </c>
      <c r="E19" s="1931"/>
      <c r="F19" s="3"/>
      <c r="G19" s="3"/>
      <c r="H19" s="3"/>
      <c r="I19" s="2"/>
      <c r="J19" s="2"/>
      <c r="K19" s="2"/>
      <c r="L19" s="2"/>
      <c r="M19" s="2"/>
      <c r="O19" s="1"/>
    </row>
    <row r="20" spans="1:15">
      <c r="A20" s="2"/>
      <c r="B20" s="3"/>
      <c r="C20" s="470">
        <v>2020</v>
      </c>
      <c r="D20" s="1931">
        <v>6000000</v>
      </c>
      <c r="E20" s="1931"/>
      <c r="F20" s="3"/>
      <c r="G20" s="3"/>
      <c r="H20" s="3"/>
      <c r="I20" s="2"/>
      <c r="J20" s="2"/>
      <c r="K20" s="2"/>
      <c r="L20" s="2"/>
      <c r="M20" s="2"/>
      <c r="O20" s="1"/>
    </row>
    <row r="21" spans="1:15">
      <c r="A21" s="2"/>
      <c r="B21" s="3"/>
      <c r="C21" s="470">
        <v>2021</v>
      </c>
      <c r="D21" s="1931">
        <v>6500000</v>
      </c>
      <c r="E21" s="1931"/>
      <c r="F21" s="3"/>
      <c r="G21" s="3"/>
      <c r="H21" s="3"/>
      <c r="I21" s="2"/>
      <c r="J21" s="2"/>
      <c r="K21" s="2"/>
      <c r="L21" s="2"/>
      <c r="M21" s="2"/>
      <c r="O21" s="1"/>
    </row>
    <row r="22" spans="1:15">
      <c r="A22" s="2"/>
      <c r="B22" s="3"/>
      <c r="C22" s="470">
        <v>2022</v>
      </c>
      <c r="D22" s="1931">
        <v>7500000</v>
      </c>
      <c r="E22" s="1931"/>
      <c r="F22" s="3"/>
      <c r="G22" s="3"/>
      <c r="H22" s="3"/>
      <c r="I22" s="2"/>
      <c r="J22" s="2"/>
      <c r="K22" s="2"/>
      <c r="L22" s="2"/>
      <c r="M22" s="2"/>
      <c r="O22" s="1"/>
    </row>
    <row r="23" spans="1:15">
      <c r="A23" s="2"/>
      <c r="B23" s="3"/>
      <c r="C23" s="3"/>
      <c r="D23" s="3"/>
      <c r="E23" s="3"/>
      <c r="F23" s="3"/>
      <c r="G23" s="3"/>
      <c r="H23" s="3"/>
      <c r="I23" s="2"/>
      <c r="J23" s="2"/>
      <c r="K23" s="2"/>
      <c r="L23" s="2"/>
      <c r="M23" s="2"/>
      <c r="O23" s="1"/>
    </row>
    <row r="24" spans="1:15">
      <c r="A24" s="1363" t="s">
        <v>2317</v>
      </c>
      <c r="B24" s="163"/>
      <c r="C24" s="746"/>
      <c r="D24" s="3"/>
      <c r="E24" s="3"/>
      <c r="F24" s="3"/>
      <c r="G24" s="3"/>
      <c r="H24" s="3"/>
      <c r="I24" s="2"/>
      <c r="J24" s="2"/>
      <c r="K24" s="2"/>
      <c r="L24" s="2"/>
      <c r="M24" s="2"/>
      <c r="O24" s="1"/>
    </row>
    <row r="25" spans="1:15">
      <c r="A25" s="1363" t="s">
        <v>2316</v>
      </c>
      <c r="B25" s="163"/>
      <c r="C25" s="746"/>
      <c r="D25" s="3"/>
      <c r="E25" s="3"/>
      <c r="F25" s="3"/>
      <c r="G25" s="3"/>
      <c r="H25" s="3"/>
      <c r="I25" s="2"/>
      <c r="J25" s="772" t="s">
        <v>2315</v>
      </c>
      <c r="K25" s="773">
        <v>7.0000000000000007E-2</v>
      </c>
      <c r="L25" s="21"/>
      <c r="M25" s="2"/>
      <c r="O25" s="1"/>
    </row>
    <row r="26" spans="1:15">
      <c r="A26" s="1363" t="s">
        <v>2314</v>
      </c>
      <c r="B26" s="163"/>
      <c r="C26" s="746"/>
      <c r="D26" s="3"/>
      <c r="E26" s="3"/>
      <c r="F26" s="3"/>
      <c r="G26" s="3"/>
      <c r="H26" s="3"/>
      <c r="I26" s="2"/>
      <c r="J26" s="772" t="s">
        <v>1907</v>
      </c>
      <c r="K26" s="492">
        <v>3000000</v>
      </c>
      <c r="L26" s="470" t="s">
        <v>2313</v>
      </c>
      <c r="M26" s="492">
        <v>1000000</v>
      </c>
      <c r="O26" s="1"/>
    </row>
    <row r="27" spans="1:15">
      <c r="A27" s="1363"/>
      <c r="B27" s="163"/>
      <c r="C27" s="746"/>
      <c r="D27" s="3"/>
      <c r="E27" s="3"/>
      <c r="F27" s="3"/>
      <c r="G27" s="3"/>
      <c r="H27" s="3"/>
      <c r="I27" s="2"/>
      <c r="J27" s="2"/>
      <c r="K27" s="2"/>
      <c r="L27" s="2"/>
      <c r="M27" s="2"/>
      <c r="O27" s="1"/>
    </row>
    <row r="28" spans="1:15">
      <c r="A28" s="1363"/>
      <c r="B28" s="470" t="s">
        <v>1913</v>
      </c>
      <c r="C28" s="1266">
        <v>2</v>
      </c>
      <c r="D28" s="3"/>
      <c r="E28" s="3"/>
      <c r="F28" s="3"/>
      <c r="G28" s="3"/>
      <c r="H28" s="3"/>
      <c r="I28" s="2"/>
      <c r="J28" s="2"/>
      <c r="K28" s="2"/>
      <c r="L28" s="2"/>
      <c r="M28" s="2"/>
      <c r="O28" s="1"/>
    </row>
    <row r="29" spans="1:15">
      <c r="A29" s="1363"/>
      <c r="B29" s="470" t="s">
        <v>1912</v>
      </c>
      <c r="C29" s="1266">
        <v>1.5</v>
      </c>
      <c r="D29" s="3"/>
      <c r="E29" s="3"/>
      <c r="F29" s="3"/>
      <c r="G29" s="3"/>
      <c r="H29" s="3"/>
      <c r="I29" s="2"/>
      <c r="J29" s="2"/>
      <c r="K29" s="2"/>
      <c r="L29" s="2"/>
      <c r="M29" s="2"/>
      <c r="O29" s="1"/>
    </row>
    <row r="30" spans="1:15">
      <c r="A30" s="1363"/>
      <c r="B30" s="470" t="s">
        <v>1911</v>
      </c>
      <c r="C30" s="1266">
        <v>1.25</v>
      </c>
      <c r="D30" s="3"/>
      <c r="E30" s="3"/>
      <c r="F30" s="3"/>
      <c r="G30" s="3"/>
      <c r="H30" s="3"/>
      <c r="I30" s="2"/>
      <c r="J30" s="2"/>
      <c r="K30" s="2"/>
      <c r="L30" s="2"/>
      <c r="M30" s="2"/>
      <c r="O30" s="1"/>
    </row>
    <row r="31" spans="1:15">
      <c r="A31" s="1363"/>
      <c r="B31" s="470" t="s">
        <v>2312</v>
      </c>
      <c r="C31" s="1266">
        <v>1</v>
      </c>
      <c r="D31" s="3"/>
      <c r="E31" s="3"/>
      <c r="F31" s="3"/>
      <c r="G31" s="3"/>
      <c r="H31" s="3"/>
      <c r="I31" s="2"/>
      <c r="J31" s="2"/>
      <c r="K31" s="2"/>
      <c r="L31" s="2"/>
      <c r="M31" s="2"/>
      <c r="O31" s="1"/>
    </row>
    <row r="32" spans="1:15">
      <c r="A32" s="2"/>
      <c r="B32" s="163"/>
      <c r="C32" s="746"/>
      <c r="D32" s="3"/>
      <c r="E32" s="3"/>
      <c r="F32" s="3"/>
      <c r="G32" s="3"/>
      <c r="H32" s="3"/>
      <c r="I32" s="2"/>
      <c r="J32" s="2"/>
      <c r="K32" s="2"/>
      <c r="L32" s="2"/>
      <c r="M32" s="2"/>
      <c r="O32" s="1"/>
    </row>
    <row r="33" spans="1:15">
      <c r="A33" s="3" t="s">
        <v>80</v>
      </c>
      <c r="B33" s="3" t="s">
        <v>2311</v>
      </c>
      <c r="C33" s="3"/>
      <c r="D33" s="3"/>
      <c r="E33" s="3"/>
      <c r="F33" s="3"/>
      <c r="G33" s="3"/>
      <c r="H33" s="3"/>
      <c r="I33" s="2"/>
      <c r="J33" s="2"/>
      <c r="K33" s="2"/>
      <c r="L33" s="2"/>
      <c r="M33" s="2"/>
      <c r="O33" s="1"/>
    </row>
    <row r="34" spans="1:15" ht="16.2">
      <c r="A34" s="5"/>
      <c r="B34" s="5" t="s">
        <v>64</v>
      </c>
      <c r="C34" s="5"/>
      <c r="D34" s="4"/>
      <c r="E34" s="4"/>
      <c r="F34" s="3"/>
      <c r="G34" s="3"/>
      <c r="H34" s="2"/>
      <c r="I34" s="44"/>
      <c r="J34" s="2"/>
      <c r="K34" s="2"/>
      <c r="L34" s="2"/>
      <c r="M34" s="2"/>
      <c r="O34" s="1"/>
    </row>
    <row r="35" spans="1:15">
      <c r="A35" s="187"/>
      <c r="G35" s="277"/>
      <c r="L35" s="277" t="s">
        <v>1267</v>
      </c>
      <c r="O35" s="1"/>
    </row>
    <row r="36" spans="1:15">
      <c r="A36" s="187"/>
      <c r="G36" s="277" t="s">
        <v>2077</v>
      </c>
      <c r="I36" s="277" t="s">
        <v>2310</v>
      </c>
      <c r="K36" s="277" t="s">
        <v>47</v>
      </c>
      <c r="L36" s="277" t="s">
        <v>2079</v>
      </c>
      <c r="M36" s="277" t="s">
        <v>2309</v>
      </c>
      <c r="O36" s="1"/>
    </row>
    <row r="37" spans="1:15">
      <c r="A37" s="187"/>
      <c r="B37" s="277" t="s">
        <v>2076</v>
      </c>
      <c r="C37" s="277" t="s">
        <v>47</v>
      </c>
      <c r="D37" s="277" t="s">
        <v>2018</v>
      </c>
      <c r="E37" s="277" t="s">
        <v>2308</v>
      </c>
      <c r="F37" s="277" t="s">
        <v>1901</v>
      </c>
      <c r="G37" s="277" t="s">
        <v>2074</v>
      </c>
      <c r="H37" s="277" t="s">
        <v>2307</v>
      </c>
      <c r="I37" s="277" t="s">
        <v>2074</v>
      </c>
      <c r="K37" s="277">
        <v>2019</v>
      </c>
      <c r="L37" s="277">
        <f>(1+$K$40-K37)*12</f>
        <v>48</v>
      </c>
      <c r="M37" s="972">
        <f>C31</f>
        <v>1</v>
      </c>
    </row>
    <row r="38" spans="1:15">
      <c r="A38" s="187"/>
      <c r="B38" s="277">
        <f t="shared" ref="B38:D45" si="0">B8</f>
        <v>1</v>
      </c>
      <c r="C38" s="277">
        <f t="shared" si="0"/>
        <v>2019</v>
      </c>
      <c r="D38" s="474">
        <f t="shared" si="0"/>
        <v>900000</v>
      </c>
      <c r="E38" s="1362">
        <f t="shared" ref="E38:E45" si="1">(1+$K$25)^(2024-$C38)</f>
        <v>1.4025517307000002</v>
      </c>
      <c r="F38" s="474">
        <f t="shared" ref="F38:F45" si="2">D38*E38</f>
        <v>1262296.5576300002</v>
      </c>
      <c r="G38" s="474">
        <f t="shared" ref="G38:G45" si="3">MIN(MAX(0,F38-$M$26),$K$26)</f>
        <v>262296.55763000017</v>
      </c>
      <c r="H38" s="558">
        <f t="shared" ref="H38:H45" si="4">VLOOKUP(C38,$K$37:$M$40,3)</f>
        <v>1</v>
      </c>
      <c r="I38" s="474">
        <f t="shared" ref="I38:I45" si="5">G38*H38</f>
        <v>262296.55763000017</v>
      </c>
      <c r="K38" s="277">
        <v>2020</v>
      </c>
      <c r="L38" s="277">
        <f>(1+$K$40-K38)*12</f>
        <v>36</v>
      </c>
      <c r="M38" s="972">
        <f>C30</f>
        <v>1.25</v>
      </c>
    </row>
    <row r="39" spans="1:15">
      <c r="A39" s="187"/>
      <c r="B39" s="277">
        <f t="shared" si="0"/>
        <v>2</v>
      </c>
      <c r="C39" s="277">
        <f t="shared" si="0"/>
        <v>2019</v>
      </c>
      <c r="D39" s="474">
        <f t="shared" si="0"/>
        <v>2900000</v>
      </c>
      <c r="E39" s="1362">
        <f t="shared" si="1"/>
        <v>1.4025517307000002</v>
      </c>
      <c r="F39" s="474">
        <f t="shared" si="2"/>
        <v>4067400.0190300005</v>
      </c>
      <c r="G39" s="474">
        <f t="shared" si="3"/>
        <v>3000000</v>
      </c>
      <c r="H39" s="558">
        <f t="shared" si="4"/>
        <v>1</v>
      </c>
      <c r="I39" s="474">
        <f t="shared" si="5"/>
        <v>3000000</v>
      </c>
      <c r="K39" s="277">
        <v>2021</v>
      </c>
      <c r="L39" s="277">
        <f>(1+$K$40-K39)*12</f>
        <v>24</v>
      </c>
      <c r="M39" s="972">
        <f>C29</f>
        <v>1.5</v>
      </c>
    </row>
    <row r="40" spans="1:15">
      <c r="A40" s="187"/>
      <c r="B40" s="277">
        <f t="shared" si="0"/>
        <v>3</v>
      </c>
      <c r="C40" s="277">
        <f t="shared" si="0"/>
        <v>2020</v>
      </c>
      <c r="D40" s="474">
        <f t="shared" si="0"/>
        <v>1600000</v>
      </c>
      <c r="E40" s="1362">
        <f t="shared" si="1"/>
        <v>1.31079601</v>
      </c>
      <c r="F40" s="474">
        <f t="shared" si="2"/>
        <v>2097273.6159999999</v>
      </c>
      <c r="G40" s="474">
        <f t="shared" si="3"/>
        <v>1097273.6159999999</v>
      </c>
      <c r="H40" s="558">
        <f t="shared" si="4"/>
        <v>1.25</v>
      </c>
      <c r="I40" s="474">
        <f t="shared" si="5"/>
        <v>1371592.02</v>
      </c>
      <c r="K40" s="277">
        <v>2022</v>
      </c>
      <c r="L40" s="277">
        <f>(1+$K$40-K40)*12</f>
        <v>12</v>
      </c>
      <c r="M40" s="972">
        <f>C28</f>
        <v>2</v>
      </c>
    </row>
    <row r="41" spans="1:15">
      <c r="A41" s="187"/>
      <c r="B41" s="277">
        <f t="shared" si="0"/>
        <v>4</v>
      </c>
      <c r="C41" s="277">
        <f t="shared" si="0"/>
        <v>2020</v>
      </c>
      <c r="D41" s="474">
        <f t="shared" si="0"/>
        <v>800000</v>
      </c>
      <c r="E41" s="1362">
        <f t="shared" si="1"/>
        <v>1.31079601</v>
      </c>
      <c r="F41" s="474">
        <f t="shared" si="2"/>
        <v>1048636.808</v>
      </c>
      <c r="G41" s="474">
        <f t="shared" si="3"/>
        <v>48636.807999999961</v>
      </c>
      <c r="H41" s="558">
        <f t="shared" si="4"/>
        <v>1.25</v>
      </c>
      <c r="I41" s="474">
        <f t="shared" si="5"/>
        <v>60796.009999999951</v>
      </c>
      <c r="O41" s="1"/>
    </row>
    <row r="42" spans="1:15">
      <c r="A42" s="187"/>
      <c r="B42" s="277">
        <f t="shared" si="0"/>
        <v>5</v>
      </c>
      <c r="C42" s="277">
        <f t="shared" si="0"/>
        <v>2021</v>
      </c>
      <c r="D42" s="474">
        <f t="shared" si="0"/>
        <v>700000</v>
      </c>
      <c r="E42" s="1362">
        <f t="shared" si="1"/>
        <v>1.2250430000000001</v>
      </c>
      <c r="F42" s="474">
        <f t="shared" si="2"/>
        <v>857530.10000000009</v>
      </c>
      <c r="G42" s="474">
        <f t="shared" si="3"/>
        <v>0</v>
      </c>
      <c r="H42" s="558">
        <f t="shared" si="4"/>
        <v>1.5</v>
      </c>
      <c r="I42" s="474">
        <f t="shared" si="5"/>
        <v>0</v>
      </c>
      <c r="O42" s="1"/>
    </row>
    <row r="43" spans="1:15">
      <c r="A43" s="187"/>
      <c r="B43" s="277">
        <f t="shared" si="0"/>
        <v>6</v>
      </c>
      <c r="C43" s="277">
        <f t="shared" si="0"/>
        <v>2021</v>
      </c>
      <c r="D43" s="474">
        <f t="shared" si="0"/>
        <v>2000000</v>
      </c>
      <c r="E43" s="1362">
        <f t="shared" si="1"/>
        <v>1.2250430000000001</v>
      </c>
      <c r="F43" s="474">
        <f t="shared" si="2"/>
        <v>2450086</v>
      </c>
      <c r="G43" s="474">
        <f t="shared" si="3"/>
        <v>1450086</v>
      </c>
      <c r="H43" s="558">
        <f t="shared" si="4"/>
        <v>1.5</v>
      </c>
      <c r="I43" s="474">
        <f t="shared" si="5"/>
        <v>2175129</v>
      </c>
      <c r="O43" s="1"/>
    </row>
    <row r="44" spans="1:15">
      <c r="A44" s="187"/>
      <c r="B44" s="277">
        <f t="shared" si="0"/>
        <v>7</v>
      </c>
      <c r="C44" s="277">
        <f t="shared" si="0"/>
        <v>2022</v>
      </c>
      <c r="D44" s="474">
        <f t="shared" si="0"/>
        <v>1800000</v>
      </c>
      <c r="E44" s="1362">
        <f t="shared" si="1"/>
        <v>1.1449</v>
      </c>
      <c r="F44" s="474">
        <f t="shared" si="2"/>
        <v>2060820</v>
      </c>
      <c r="G44" s="474">
        <f t="shared" si="3"/>
        <v>1060820</v>
      </c>
      <c r="H44" s="558">
        <f t="shared" si="4"/>
        <v>2</v>
      </c>
      <c r="I44" s="474">
        <f t="shared" si="5"/>
        <v>2121640</v>
      </c>
      <c r="O44" s="1"/>
    </row>
    <row r="45" spans="1:15" customFormat="1">
      <c r="A45" s="1"/>
      <c r="B45" s="277">
        <f t="shared" si="0"/>
        <v>8</v>
      </c>
      <c r="C45" s="277">
        <f t="shared" si="0"/>
        <v>2022</v>
      </c>
      <c r="D45" s="474">
        <f t="shared" si="0"/>
        <v>1400000</v>
      </c>
      <c r="E45" s="1362">
        <f t="shared" si="1"/>
        <v>1.1449</v>
      </c>
      <c r="F45" s="474">
        <f t="shared" si="2"/>
        <v>1602860</v>
      </c>
      <c r="G45" s="474">
        <f t="shared" si="3"/>
        <v>602860</v>
      </c>
      <c r="H45" s="558">
        <f t="shared" si="4"/>
        <v>2</v>
      </c>
      <c r="I45" s="474">
        <f t="shared" si="5"/>
        <v>1205720</v>
      </c>
      <c r="J45" s="1"/>
      <c r="K45" s="1"/>
      <c r="L45" s="1"/>
      <c r="M45" s="1"/>
    </row>
    <row r="46" spans="1:15" customFormat="1">
      <c r="A46" s="1"/>
      <c r="B46" s="277" t="s">
        <v>98</v>
      </c>
      <c r="C46" s="277"/>
      <c r="D46" s="474"/>
      <c r="E46" s="1"/>
      <c r="F46" s="1"/>
      <c r="G46" s="1"/>
      <c r="H46" s="1"/>
      <c r="I46" s="474">
        <f>SUM(I38:I45)</f>
        <v>10197173.58763</v>
      </c>
      <c r="J46" s="1"/>
      <c r="K46" s="1"/>
      <c r="L46" s="1"/>
      <c r="M46" s="1"/>
    </row>
    <row r="47" spans="1:15" customFormat="1">
      <c r="A47" s="1"/>
      <c r="B47" s="277"/>
      <c r="C47" s="277"/>
      <c r="D47" s="604" t="s">
        <v>2297</v>
      </c>
      <c r="E47" s="277" t="s">
        <v>2306</v>
      </c>
      <c r="F47" s="277"/>
      <c r="G47" s="1"/>
      <c r="H47" s="1"/>
      <c r="I47" s="474"/>
      <c r="J47" s="1"/>
      <c r="K47" s="1"/>
      <c r="L47" s="1"/>
      <c r="M47" s="1"/>
    </row>
    <row r="48" spans="1:15" customFormat="1">
      <c r="A48" s="1"/>
      <c r="B48" s="277"/>
      <c r="C48" s="277" t="s">
        <v>76</v>
      </c>
      <c r="D48" s="604" t="s">
        <v>1936</v>
      </c>
      <c r="E48" s="277" t="s">
        <v>2074</v>
      </c>
      <c r="F48" s="1359" t="s">
        <v>2295</v>
      </c>
      <c r="G48" s="1"/>
      <c r="H48" s="1"/>
      <c r="I48" s="1"/>
      <c r="J48" s="1"/>
      <c r="K48" s="1"/>
      <c r="L48" s="1"/>
      <c r="M48" s="1"/>
    </row>
    <row r="49" spans="1:15" customFormat="1">
      <c r="A49" s="1"/>
      <c r="B49" s="277"/>
      <c r="C49" s="277">
        <v>2019</v>
      </c>
      <c r="D49" s="474">
        <f>D19</f>
        <v>15000000</v>
      </c>
      <c r="E49" s="474">
        <f>SUMIF($C$38:$C$45,C49,$I$38:$I$45)</f>
        <v>3262296.5576300002</v>
      </c>
      <c r="F49" s="1361">
        <f>E49/D49</f>
        <v>0.21748643717533334</v>
      </c>
      <c r="G49" s="1"/>
      <c r="H49" s="1"/>
      <c r="I49" s="1"/>
      <c r="J49" s="1"/>
      <c r="K49" s="1"/>
      <c r="L49" s="1"/>
      <c r="M49" s="1"/>
    </row>
    <row r="50" spans="1:15" customFormat="1">
      <c r="A50" s="1"/>
      <c r="B50" s="277"/>
      <c r="C50" s="277">
        <v>2020</v>
      </c>
      <c r="D50" s="474">
        <f>D20</f>
        <v>6000000</v>
      </c>
      <c r="E50" s="474">
        <f>SUMIF($C$38:$C$45,C50,$I$38:$I$45)</f>
        <v>1432388.03</v>
      </c>
      <c r="F50" s="1361">
        <f>E50/D50</f>
        <v>0.23873133833333335</v>
      </c>
      <c r="G50" s="1"/>
      <c r="H50" s="1"/>
      <c r="I50" s="1"/>
      <c r="J50" s="1"/>
      <c r="K50" s="1"/>
      <c r="L50" s="1"/>
      <c r="M50" s="1"/>
    </row>
    <row r="51" spans="1:15" customFormat="1">
      <c r="A51" s="1"/>
      <c r="B51" s="277"/>
      <c r="C51" s="277">
        <v>2021</v>
      </c>
      <c r="D51" s="474">
        <f>D21</f>
        <v>6500000</v>
      </c>
      <c r="E51" s="474">
        <f>SUMIF($C$38:$C$45,C51,$I$38:$I$45)</f>
        <v>2175129</v>
      </c>
      <c r="F51" s="1361">
        <f>E51/D51</f>
        <v>0.3346352307692308</v>
      </c>
      <c r="G51" s="1"/>
      <c r="H51" s="1"/>
      <c r="I51" s="1"/>
      <c r="J51" s="1"/>
      <c r="K51" s="1"/>
      <c r="L51" s="1"/>
      <c r="M51" s="1"/>
    </row>
    <row r="52" spans="1:15" customFormat="1">
      <c r="A52" s="1"/>
      <c r="B52" s="277"/>
      <c r="C52" s="277">
        <v>2022</v>
      </c>
      <c r="D52" s="474">
        <f>D22</f>
        <v>7500000</v>
      </c>
      <c r="E52" s="474">
        <f>SUMIF($C$38:$C$45,C52,$I$38:$I$45)</f>
        <v>3327360</v>
      </c>
      <c r="F52" s="1361">
        <f>E52/D52</f>
        <v>0.44364799999999999</v>
      </c>
      <c r="G52" s="1"/>
      <c r="H52" s="1"/>
      <c r="I52" s="1"/>
      <c r="J52" s="1"/>
      <c r="K52" s="1"/>
      <c r="L52" s="1"/>
      <c r="M52" s="1"/>
    </row>
    <row r="53" spans="1:15" customFormat="1">
      <c r="A53" s="1"/>
      <c r="B53" s="277"/>
      <c r="C53" s="277" t="s">
        <v>98</v>
      </c>
      <c r="D53" s="474">
        <f>SUM(D49:D52)</f>
        <v>35000000</v>
      </c>
      <c r="E53" s="474">
        <f>SUM(E49:E52)</f>
        <v>10197173.58763</v>
      </c>
      <c r="F53" s="1"/>
      <c r="G53" s="1"/>
      <c r="H53" s="1"/>
      <c r="I53" s="1"/>
      <c r="J53" s="1"/>
      <c r="K53" s="1"/>
      <c r="L53" s="1"/>
      <c r="M53" s="1"/>
    </row>
    <row r="54" spans="1:15" customFormat="1">
      <c r="A54" s="1"/>
      <c r="B54" s="1"/>
      <c r="C54" s="1"/>
      <c r="D54" s="1"/>
      <c r="E54" s="1"/>
      <c r="F54" s="1"/>
      <c r="G54" s="1"/>
      <c r="H54" s="1"/>
      <c r="I54" s="1"/>
      <c r="J54" s="1"/>
      <c r="K54" s="1"/>
      <c r="L54" s="1"/>
      <c r="M54" s="1"/>
    </row>
    <row r="55" spans="1:15">
      <c r="A55" s="1670" t="s">
        <v>2305</v>
      </c>
      <c r="B55" s="1670"/>
      <c r="C55" s="1670"/>
      <c r="D55" s="1670"/>
      <c r="E55" s="1670"/>
      <c r="F55" s="1670"/>
      <c r="G55" s="1670"/>
      <c r="H55" s="1670"/>
      <c r="I55" s="1670"/>
      <c r="J55" s="1670"/>
      <c r="K55" s="1670"/>
      <c r="L55" s="1670"/>
      <c r="M55" s="1670"/>
      <c r="O55" s="1"/>
    </row>
    <row r="56" spans="1:15">
      <c r="A56" s="3"/>
      <c r="B56" s="163"/>
      <c r="C56" s="746"/>
      <c r="D56" s="3"/>
      <c r="E56" s="3"/>
      <c r="F56" s="3"/>
      <c r="G56" s="3"/>
      <c r="H56" s="3"/>
      <c r="I56" s="2"/>
      <c r="J56" s="2"/>
      <c r="K56" s="2"/>
      <c r="L56" s="2"/>
      <c r="M56" s="2"/>
      <c r="O56" s="1"/>
    </row>
    <row r="57" spans="1:15" ht="31.2">
      <c r="A57" s="3"/>
      <c r="B57" s="83" t="s">
        <v>2304</v>
      </c>
      <c r="C57" s="83" t="s">
        <v>1952</v>
      </c>
      <c r="D57" s="3"/>
      <c r="E57" s="3"/>
      <c r="F57" s="3"/>
      <c r="G57" s="3"/>
      <c r="H57" s="3"/>
      <c r="I57" s="2"/>
      <c r="J57" s="2"/>
      <c r="K57" s="2"/>
      <c r="L57" s="2"/>
      <c r="M57" s="2"/>
      <c r="O57" s="1"/>
    </row>
    <row r="58" spans="1:15">
      <c r="A58" s="3"/>
      <c r="B58" s="697">
        <v>0</v>
      </c>
      <c r="C58" s="697">
        <v>0.5</v>
      </c>
      <c r="D58" s="3"/>
      <c r="E58" s="3"/>
      <c r="F58" s="3"/>
      <c r="G58" s="3"/>
      <c r="H58" s="3"/>
      <c r="I58" s="2"/>
      <c r="J58" s="2"/>
      <c r="K58" s="2"/>
      <c r="L58" s="2"/>
      <c r="M58" s="2"/>
      <c r="O58" s="1"/>
    </row>
    <row r="59" spans="1:15">
      <c r="A59" s="3"/>
      <c r="B59" s="697">
        <v>0.1</v>
      </c>
      <c r="C59" s="697">
        <v>0.3</v>
      </c>
      <c r="D59" s="3"/>
      <c r="E59" s="3"/>
      <c r="F59" s="3"/>
      <c r="G59" s="3"/>
      <c r="H59" s="3"/>
      <c r="I59" s="2"/>
      <c r="J59" s="2"/>
      <c r="K59" s="2"/>
      <c r="L59" s="2"/>
      <c r="M59" s="2"/>
      <c r="O59" s="1"/>
    </row>
    <row r="60" spans="1:15">
      <c r="A60" s="3"/>
      <c r="B60" s="697">
        <v>0.2</v>
      </c>
      <c r="C60" s="697">
        <v>0.2</v>
      </c>
      <c r="D60" s="3"/>
      <c r="E60" s="3"/>
      <c r="F60" s="3"/>
      <c r="G60" s="3"/>
      <c r="H60" s="3"/>
      <c r="I60" s="2"/>
      <c r="J60" s="2"/>
      <c r="K60" s="2"/>
      <c r="L60" s="2"/>
      <c r="M60" s="2"/>
      <c r="O60" s="1"/>
    </row>
    <row r="61" spans="1:15">
      <c r="A61" s="3"/>
      <c r="B61" s="163"/>
      <c r="C61" s="746"/>
      <c r="D61" s="3"/>
      <c r="E61" s="3"/>
      <c r="F61" s="3"/>
      <c r="G61" s="3"/>
      <c r="H61" s="3"/>
      <c r="I61" s="2"/>
      <c r="J61" s="2"/>
      <c r="K61" s="2"/>
      <c r="L61" s="2"/>
      <c r="M61" s="2"/>
      <c r="O61" s="1"/>
    </row>
    <row r="62" spans="1:15">
      <c r="A62" s="3" t="s">
        <v>9</v>
      </c>
      <c r="B62" s="3" t="s">
        <v>2303</v>
      </c>
      <c r="C62" s="3"/>
      <c r="D62" s="3"/>
      <c r="E62" s="3"/>
      <c r="F62" s="3"/>
      <c r="G62" s="3"/>
      <c r="H62" s="3"/>
      <c r="I62" s="2"/>
      <c r="J62" s="2"/>
      <c r="K62" s="2"/>
      <c r="L62" s="2"/>
      <c r="M62" s="2"/>
      <c r="O62" s="1"/>
    </row>
    <row r="63" spans="1:15" ht="16.2">
      <c r="A63" s="5"/>
      <c r="B63" s="5" t="s">
        <v>64</v>
      </c>
      <c r="C63" s="5"/>
      <c r="D63" s="4"/>
      <c r="E63" s="4"/>
      <c r="F63" s="3"/>
      <c r="G63" s="3"/>
      <c r="H63" s="2"/>
      <c r="I63" s="44"/>
      <c r="J63" s="2"/>
      <c r="K63" s="2"/>
      <c r="L63" s="2"/>
      <c r="M63" s="2"/>
      <c r="O63" s="1"/>
    </row>
    <row r="64" spans="1:15">
      <c r="A64" s="187"/>
      <c r="E64" s="277" t="s">
        <v>2302</v>
      </c>
      <c r="G64" s="277" t="s">
        <v>2301</v>
      </c>
      <c r="H64" s="277" t="s">
        <v>2302</v>
      </c>
      <c r="J64" s="277" t="s">
        <v>2301</v>
      </c>
      <c r="M64" s="277"/>
      <c r="O64" s="1"/>
    </row>
    <row r="65" spans="1:15">
      <c r="A65" s="187"/>
      <c r="E65" s="277" t="s">
        <v>2300</v>
      </c>
      <c r="G65" s="277" t="s">
        <v>2074</v>
      </c>
      <c r="H65" s="277" t="s">
        <v>2300</v>
      </c>
      <c r="J65" s="277" t="s">
        <v>2074</v>
      </c>
      <c r="L65" s="277" t="s">
        <v>2296</v>
      </c>
      <c r="O65" s="1"/>
    </row>
    <row r="66" spans="1:15">
      <c r="A66" s="187"/>
      <c r="B66" s="277" t="s">
        <v>2076</v>
      </c>
      <c r="C66" s="277" t="s">
        <v>47</v>
      </c>
      <c r="D66" s="602" t="str">
        <f t="shared" ref="D66:D74" si="6">F37</f>
        <v>Trended Loss</v>
      </c>
      <c r="E66" s="1360">
        <v>0.1</v>
      </c>
      <c r="F66" s="1360" t="s">
        <v>1907</v>
      </c>
      <c r="G66" s="277" t="s">
        <v>2299</v>
      </c>
      <c r="H66" s="1360">
        <v>0.2</v>
      </c>
      <c r="I66" s="1360" t="s">
        <v>1907</v>
      </c>
      <c r="J66" s="277" t="s">
        <v>2298</v>
      </c>
      <c r="L66" s="277" t="s">
        <v>2074</v>
      </c>
      <c r="O66" s="1"/>
    </row>
    <row r="67" spans="1:15">
      <c r="A67" s="187"/>
      <c r="B67" s="277">
        <f t="shared" ref="B67:C74" si="7">B38</f>
        <v>1</v>
      </c>
      <c r="C67" s="277">
        <f t="shared" si="7"/>
        <v>2019</v>
      </c>
      <c r="D67" s="474">
        <f t="shared" si="6"/>
        <v>1262296.5576300002</v>
      </c>
      <c r="E67" s="474">
        <f t="shared" ref="E67:E74" si="8">$D67*(1+E$66)</f>
        <v>1388526.2133930002</v>
      </c>
      <c r="F67" s="474">
        <f t="shared" ref="F67:F74" si="9">MIN(MAX(0,E67-$M$26),$K$26)</f>
        <v>388526.21339300019</v>
      </c>
      <c r="G67" s="474">
        <f t="shared" ref="G67:G74" si="10">F67*H38</f>
        <v>388526.21339300019</v>
      </c>
      <c r="H67" s="474">
        <f t="shared" ref="H67:H74" si="11">$D67*(1+H$66)</f>
        <v>1514755.8691560002</v>
      </c>
      <c r="I67" s="474">
        <f t="shared" ref="I67:I74" si="12">MIN(MAX(0,H67-$M$26),$K$26)</f>
        <v>514755.8691560002</v>
      </c>
      <c r="J67" s="474">
        <f t="shared" ref="J67:J74" si="13">I67*H38</f>
        <v>514755.8691560002</v>
      </c>
      <c r="L67" s="474">
        <f t="shared" ref="L67:L74" si="14">I38*$C$58+G67*$C$59+J67*$C$60</f>
        <v>350657.31666410016</v>
      </c>
      <c r="O67" s="1"/>
    </row>
    <row r="68" spans="1:15">
      <c r="A68" s="187"/>
      <c r="B68" s="277">
        <f t="shared" si="7"/>
        <v>2</v>
      </c>
      <c r="C68" s="277">
        <f t="shared" si="7"/>
        <v>2019</v>
      </c>
      <c r="D68" s="474">
        <f t="shared" si="6"/>
        <v>4067400.0190300005</v>
      </c>
      <c r="E68" s="474">
        <f t="shared" si="8"/>
        <v>4474140.0209330013</v>
      </c>
      <c r="F68" s="474">
        <f t="shared" si="9"/>
        <v>3000000</v>
      </c>
      <c r="G68" s="474">
        <f t="shared" si="10"/>
        <v>3000000</v>
      </c>
      <c r="H68" s="474">
        <f t="shared" si="11"/>
        <v>4880880.0228360007</v>
      </c>
      <c r="I68" s="474">
        <f t="shared" si="12"/>
        <v>3000000</v>
      </c>
      <c r="J68" s="474">
        <f t="shared" si="13"/>
        <v>3000000</v>
      </c>
      <c r="L68" s="474">
        <f t="shared" si="14"/>
        <v>3000000</v>
      </c>
      <c r="O68" s="1"/>
    </row>
    <row r="69" spans="1:15">
      <c r="A69" s="187"/>
      <c r="B69" s="277">
        <f t="shared" si="7"/>
        <v>3</v>
      </c>
      <c r="C69" s="277">
        <f t="shared" si="7"/>
        <v>2020</v>
      </c>
      <c r="D69" s="474">
        <f t="shared" si="6"/>
        <v>2097273.6159999999</v>
      </c>
      <c r="E69" s="474">
        <f t="shared" si="8"/>
        <v>2307000.9775999999</v>
      </c>
      <c r="F69" s="474">
        <f t="shared" si="9"/>
        <v>1307000.9775999999</v>
      </c>
      <c r="G69" s="474">
        <f t="shared" si="10"/>
        <v>1633751.2219999998</v>
      </c>
      <c r="H69" s="474">
        <f t="shared" si="11"/>
        <v>2516728.3391999998</v>
      </c>
      <c r="I69" s="474">
        <f t="shared" si="12"/>
        <v>1516728.3391999998</v>
      </c>
      <c r="J69" s="474">
        <f t="shared" si="13"/>
        <v>1895910.4239999996</v>
      </c>
      <c r="L69" s="474">
        <f t="shared" si="14"/>
        <v>1555103.4613999999</v>
      </c>
      <c r="O69" s="1"/>
    </row>
    <row r="70" spans="1:15">
      <c r="A70" s="187"/>
      <c r="B70" s="277">
        <f t="shared" si="7"/>
        <v>4</v>
      </c>
      <c r="C70" s="277">
        <f t="shared" si="7"/>
        <v>2020</v>
      </c>
      <c r="D70" s="474">
        <f t="shared" si="6"/>
        <v>1048636.808</v>
      </c>
      <c r="E70" s="474">
        <f t="shared" si="8"/>
        <v>1153500.4887999999</v>
      </c>
      <c r="F70" s="474">
        <f t="shared" si="9"/>
        <v>153500.48879999993</v>
      </c>
      <c r="G70" s="474">
        <f t="shared" si="10"/>
        <v>191875.61099999992</v>
      </c>
      <c r="H70" s="474">
        <f t="shared" si="11"/>
        <v>1258364.1695999999</v>
      </c>
      <c r="I70" s="474">
        <f t="shared" si="12"/>
        <v>258364.16959999991</v>
      </c>
      <c r="J70" s="474">
        <f t="shared" si="13"/>
        <v>322955.21199999988</v>
      </c>
      <c r="L70" s="474">
        <f t="shared" si="14"/>
        <v>152551.73069999993</v>
      </c>
      <c r="O70" s="1"/>
    </row>
    <row r="71" spans="1:15">
      <c r="A71" s="187"/>
      <c r="B71" s="277">
        <f t="shared" si="7"/>
        <v>5</v>
      </c>
      <c r="C71" s="277">
        <f t="shared" si="7"/>
        <v>2021</v>
      </c>
      <c r="D71" s="474">
        <f t="shared" si="6"/>
        <v>857530.10000000009</v>
      </c>
      <c r="E71" s="474">
        <f t="shared" si="8"/>
        <v>943283.11000000022</v>
      </c>
      <c r="F71" s="474">
        <f t="shared" si="9"/>
        <v>0</v>
      </c>
      <c r="G71" s="474">
        <f t="shared" si="10"/>
        <v>0</v>
      </c>
      <c r="H71" s="474">
        <f t="shared" si="11"/>
        <v>1029036.1200000001</v>
      </c>
      <c r="I71" s="474">
        <f t="shared" si="12"/>
        <v>29036.120000000112</v>
      </c>
      <c r="J71" s="474">
        <f t="shared" si="13"/>
        <v>43554.180000000168</v>
      </c>
      <c r="L71" s="474">
        <f t="shared" si="14"/>
        <v>8710.8360000000339</v>
      </c>
      <c r="O71" s="1"/>
    </row>
    <row r="72" spans="1:15">
      <c r="A72" s="187"/>
      <c r="B72" s="277">
        <f t="shared" si="7"/>
        <v>6</v>
      </c>
      <c r="C72" s="277">
        <f t="shared" si="7"/>
        <v>2021</v>
      </c>
      <c r="D72" s="474">
        <f t="shared" si="6"/>
        <v>2450086</v>
      </c>
      <c r="E72" s="474">
        <f t="shared" si="8"/>
        <v>2695094.6</v>
      </c>
      <c r="F72" s="474">
        <f t="shared" si="9"/>
        <v>1695094.6</v>
      </c>
      <c r="G72" s="474">
        <f t="shared" si="10"/>
        <v>2542641.9000000004</v>
      </c>
      <c r="H72" s="474">
        <f t="shared" si="11"/>
        <v>2940103.1999999997</v>
      </c>
      <c r="I72" s="474">
        <f t="shared" si="12"/>
        <v>1940103.1999999997</v>
      </c>
      <c r="J72" s="474">
        <f t="shared" si="13"/>
        <v>2910154.8</v>
      </c>
      <c r="L72" s="474">
        <f t="shared" si="14"/>
        <v>2432388.0300000003</v>
      </c>
      <c r="O72" s="1"/>
    </row>
    <row r="73" spans="1:15">
      <c r="A73" s="187"/>
      <c r="B73" s="277">
        <f t="shared" si="7"/>
        <v>7</v>
      </c>
      <c r="C73" s="277">
        <f t="shared" si="7"/>
        <v>2022</v>
      </c>
      <c r="D73" s="474">
        <f t="shared" si="6"/>
        <v>2060820</v>
      </c>
      <c r="E73" s="474">
        <f t="shared" si="8"/>
        <v>2266902</v>
      </c>
      <c r="F73" s="474">
        <f t="shared" si="9"/>
        <v>1266902</v>
      </c>
      <c r="G73" s="474">
        <f t="shared" si="10"/>
        <v>2533804</v>
      </c>
      <c r="H73" s="474">
        <f t="shared" si="11"/>
        <v>2472984</v>
      </c>
      <c r="I73" s="474">
        <f t="shared" si="12"/>
        <v>1472984</v>
      </c>
      <c r="J73" s="474">
        <f t="shared" si="13"/>
        <v>2945968</v>
      </c>
      <c r="L73" s="474">
        <f t="shared" si="14"/>
        <v>2410154.7999999998</v>
      </c>
      <c r="O73" s="1"/>
    </row>
    <row r="74" spans="1:15">
      <c r="A74" s="187"/>
      <c r="B74" s="277">
        <f t="shared" si="7"/>
        <v>8</v>
      </c>
      <c r="C74" s="277">
        <f t="shared" si="7"/>
        <v>2022</v>
      </c>
      <c r="D74" s="474">
        <f t="shared" si="6"/>
        <v>1602860</v>
      </c>
      <c r="E74" s="474">
        <f t="shared" si="8"/>
        <v>1763146.0000000002</v>
      </c>
      <c r="F74" s="474">
        <f t="shared" si="9"/>
        <v>763146.00000000023</v>
      </c>
      <c r="G74" s="474">
        <f t="shared" si="10"/>
        <v>1526292.0000000005</v>
      </c>
      <c r="H74" s="474">
        <f t="shared" si="11"/>
        <v>1923432</v>
      </c>
      <c r="I74" s="474">
        <f t="shared" si="12"/>
        <v>923432</v>
      </c>
      <c r="J74" s="474">
        <f t="shared" si="13"/>
        <v>1846864</v>
      </c>
      <c r="L74" s="474">
        <f t="shared" si="14"/>
        <v>1430120.4000000001</v>
      </c>
      <c r="O74" s="1"/>
    </row>
    <row r="75" spans="1:15">
      <c r="A75" s="187"/>
      <c r="B75" s="277" t="str">
        <f>B46</f>
        <v>Total</v>
      </c>
      <c r="C75" s="277"/>
      <c r="G75" s="474">
        <f>SUM(G67:G74)</f>
        <v>11816890.946393</v>
      </c>
      <c r="J75" s="474">
        <f>SUM(J67:J74)</f>
        <v>13480162.485156</v>
      </c>
      <c r="L75" s="474">
        <f>SUM(L67:L74)</f>
        <v>11339686.574764101</v>
      </c>
      <c r="O75" s="1"/>
    </row>
    <row r="76" spans="1:15">
      <c r="A76" s="187"/>
      <c r="B76" s="277"/>
      <c r="C76" s="277"/>
      <c r="D76" s="277"/>
      <c r="E76" s="277"/>
      <c r="F76" s="277"/>
      <c r="G76" s="277"/>
      <c r="I76" s="474"/>
      <c r="N76" s="474"/>
      <c r="O76" s="1"/>
    </row>
    <row r="77" spans="1:15">
      <c r="A77" s="187"/>
      <c r="B77" s="277"/>
      <c r="C77" s="604" t="s">
        <v>2297</v>
      </c>
      <c r="D77" s="1359" t="s">
        <v>2296</v>
      </c>
      <c r="E77" s="277"/>
      <c r="F77" s="277"/>
      <c r="G77" s="277"/>
      <c r="I77" s="474"/>
      <c r="N77" s="474"/>
      <c r="O77" s="1"/>
    </row>
    <row r="78" spans="1:15">
      <c r="A78" s="187"/>
      <c r="B78" s="277" t="s">
        <v>76</v>
      </c>
      <c r="C78" s="604" t="s">
        <v>1936</v>
      </c>
      <c r="D78" s="1359" t="s">
        <v>2295</v>
      </c>
      <c r="E78" s="277"/>
      <c r="F78" s="277"/>
      <c r="G78" s="277"/>
      <c r="I78" s="277"/>
      <c r="N78" s="474"/>
      <c r="O78" s="1"/>
    </row>
    <row r="79" spans="1:15">
      <c r="A79" s="187"/>
      <c r="B79" s="277">
        <v>2019</v>
      </c>
      <c r="C79" s="474">
        <f>D49</f>
        <v>15000000</v>
      </c>
      <c r="D79" s="1189">
        <f>(SUMIF($C$67:$C$74,$B79,$L$67:$L$74))/$C79</f>
        <v>0.22337715444427333</v>
      </c>
      <c r="E79" s="1105"/>
      <c r="F79" s="474"/>
      <c r="G79" s="1105"/>
      <c r="I79" s="277"/>
      <c r="J79" s="1358"/>
      <c r="N79" s="474"/>
      <c r="O79" s="1"/>
    </row>
    <row r="80" spans="1:15">
      <c r="A80" s="187"/>
      <c r="B80" s="277">
        <v>2020</v>
      </c>
      <c r="C80" s="474">
        <f>D50</f>
        <v>6000000</v>
      </c>
      <c r="D80" s="1189">
        <f>(SUMIF($C$67:$C$74,$B80,$L$67:$L$74))/$C80</f>
        <v>0.28460919868333329</v>
      </c>
      <c r="E80" s="1105"/>
      <c r="F80" s="474"/>
      <c r="G80" s="1105"/>
      <c r="I80" s="277"/>
      <c r="J80" s="1358"/>
      <c r="N80" s="474"/>
      <c r="O80" s="1"/>
    </row>
    <row r="81" spans="1:15">
      <c r="A81" s="187"/>
      <c r="B81" s="277">
        <v>2021</v>
      </c>
      <c r="C81" s="474">
        <f>D51</f>
        <v>6500000</v>
      </c>
      <c r="D81" s="1189">
        <f>(SUMIF($C$67:$C$74,$B81,$L$67:$L$74))/$C81</f>
        <v>0.37555367169230774</v>
      </c>
      <c r="E81" s="1105"/>
      <c r="F81" s="474"/>
      <c r="G81" s="1105"/>
      <c r="I81" s="277"/>
      <c r="J81" s="1358"/>
      <c r="N81" s="474"/>
      <c r="O81" s="1"/>
    </row>
    <row r="82" spans="1:15">
      <c r="B82" s="277">
        <v>2022</v>
      </c>
      <c r="C82" s="474">
        <f>D52</f>
        <v>7500000</v>
      </c>
      <c r="D82" s="1189">
        <f>(SUMIF($C$67:$C$74,$B82,$L$67:$L$74))/$C82</f>
        <v>0.51203669333333335</v>
      </c>
      <c r="E82" s="1105"/>
      <c r="F82" s="474"/>
      <c r="G82" s="1105"/>
      <c r="I82" s="277"/>
      <c r="J82" s="1358"/>
    </row>
    <row r="83" spans="1:15">
      <c r="B83" s="277" t="s">
        <v>98</v>
      </c>
      <c r="C83" s="474">
        <f>SUM(C79:C82)</f>
        <v>35000000</v>
      </c>
      <c r="D83" s="474"/>
      <c r="E83" s="1105"/>
      <c r="F83" s="474"/>
      <c r="I83" s="277"/>
    </row>
    <row r="84" spans="1:15">
      <c r="O84" s="1"/>
    </row>
    <row r="85" spans="1:15">
      <c r="A85" s="3" t="s">
        <v>7</v>
      </c>
      <c r="B85" s="3" t="s">
        <v>2294</v>
      </c>
      <c r="C85" s="3"/>
      <c r="D85" s="3"/>
      <c r="E85" s="3"/>
      <c r="F85" s="3"/>
      <c r="G85" s="3"/>
      <c r="H85" s="3"/>
      <c r="I85" s="2"/>
      <c r="J85" s="2"/>
      <c r="K85" s="2"/>
      <c r="L85" s="2"/>
      <c r="M85" s="2"/>
      <c r="O85" s="1"/>
    </row>
    <row r="86" spans="1:15" ht="16.2">
      <c r="A86" s="5"/>
      <c r="B86" s="5" t="s">
        <v>64</v>
      </c>
      <c r="C86" s="5"/>
      <c r="D86" s="4"/>
      <c r="E86" s="4"/>
      <c r="F86" s="3"/>
      <c r="G86" s="3"/>
      <c r="H86" s="2"/>
      <c r="I86" s="44"/>
      <c r="J86" s="2"/>
      <c r="K86" s="2"/>
      <c r="L86" s="2"/>
      <c r="M86" s="2"/>
      <c r="O86" s="1"/>
    </row>
    <row r="87" spans="1:15">
      <c r="A87"/>
      <c r="B87" s="1686" t="s">
        <v>2293</v>
      </c>
      <c r="C87" s="1686"/>
      <c r="D87" s="1686"/>
      <c r="E87" s="1686"/>
      <c r="F87" s="1686"/>
      <c r="G87" s="1686"/>
      <c r="H87" s="1686"/>
      <c r="I87" s="1686"/>
      <c r="J87" s="1686"/>
      <c r="K87" s="1686"/>
      <c r="L87" s="1686"/>
      <c r="O87" s="1"/>
    </row>
    <row r="88" spans="1:15">
      <c r="A88"/>
      <c r="B88" s="1686"/>
      <c r="C88" s="1686"/>
      <c r="D88" s="1686"/>
      <c r="E88" s="1686"/>
      <c r="F88" s="1686"/>
      <c r="G88" s="1686"/>
      <c r="H88" s="1686"/>
      <c r="I88" s="1686"/>
      <c r="J88" s="1686"/>
      <c r="K88" s="1686"/>
      <c r="L88" s="1686"/>
    </row>
    <row r="89" spans="1:15">
      <c r="B89" s="1686"/>
      <c r="C89" s="1686"/>
      <c r="D89" s="1686"/>
      <c r="E89" s="1686"/>
      <c r="F89" s="1686"/>
      <c r="G89" s="1686"/>
      <c r="H89" s="1686"/>
      <c r="I89" s="1686"/>
      <c r="J89" s="1686"/>
      <c r="K89" s="1686"/>
      <c r="L89" s="1686"/>
    </row>
  </sheetData>
  <mergeCells count="20">
    <mergeCell ref="D15:E15"/>
    <mergeCell ref="D17:E18"/>
    <mergeCell ref="B6:B7"/>
    <mergeCell ref="C6:C7"/>
    <mergeCell ref="A3:K3"/>
    <mergeCell ref="C17:C18"/>
    <mergeCell ref="D6:E7"/>
    <mergeCell ref="D8:E8"/>
    <mergeCell ref="D9:E9"/>
    <mergeCell ref="D10:E10"/>
    <mergeCell ref="D11:E11"/>
    <mergeCell ref="D12:E12"/>
    <mergeCell ref="D13:E13"/>
    <mergeCell ref="D14:E14"/>
    <mergeCell ref="B87:L89"/>
    <mergeCell ref="D19:E19"/>
    <mergeCell ref="D20:E20"/>
    <mergeCell ref="D21:E21"/>
    <mergeCell ref="D22:E22"/>
    <mergeCell ref="A55:M55"/>
  </mergeCells>
  <pageMargins left="0.7" right="0.7" top="0.75" bottom="0.75" header="0.3" footer="0.3"/>
  <pageSetup orientation="portrait" horizontalDpi="0"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F08F7-0FBA-42AA-BD2A-598D1160F17B}">
  <dimension ref="A1:Y68"/>
  <sheetViews>
    <sheetView zoomScaleNormal="100" workbookViewId="0">
      <selection activeCell="B38" sqref="B38"/>
    </sheetView>
  </sheetViews>
  <sheetFormatPr defaultColWidth="9.109375" defaultRowHeight="15.6"/>
  <cols>
    <col min="1" max="1" width="12.6640625" style="1" customWidth="1"/>
    <col min="2" max="2" width="10.6640625" style="1" customWidth="1"/>
    <col min="3" max="3" width="12.6640625" style="1" customWidth="1"/>
    <col min="4" max="4" width="14.109375" style="1" customWidth="1"/>
    <col min="5" max="5" width="16.44140625" style="1" customWidth="1"/>
    <col min="6" max="9" width="14.109375" style="1" customWidth="1"/>
    <col min="10" max="10" width="19.109375" style="1" customWidth="1"/>
    <col min="11" max="13" width="14.109375" style="1" customWidth="1"/>
    <col min="14" max="14" width="8.88671875" bestFit="1" customWidth="1"/>
    <col min="26" max="16384" width="9.109375" style="1"/>
  </cols>
  <sheetData>
    <row r="1" spans="1:25" ht="15.75" customHeight="1">
      <c r="A1" s="23" t="s">
        <v>839</v>
      </c>
      <c r="B1" s="22"/>
      <c r="C1" s="5" t="s">
        <v>38</v>
      </c>
      <c r="D1" s="22"/>
      <c r="E1" s="22"/>
      <c r="F1" s="22"/>
      <c r="G1" s="22"/>
      <c r="H1" s="22"/>
      <c r="I1" s="22"/>
      <c r="J1" s="22"/>
      <c r="K1" s="22"/>
      <c r="L1" s="22"/>
      <c r="M1" s="2"/>
    </row>
    <row r="2" spans="1:25" customFormat="1" ht="15.75" customHeight="1">
      <c r="A2" s="23"/>
      <c r="B2" s="21"/>
      <c r="C2" s="5"/>
      <c r="D2" s="21"/>
      <c r="E2" s="21"/>
      <c r="F2" s="21"/>
      <c r="G2" s="21"/>
      <c r="H2" s="21"/>
      <c r="I2" s="21"/>
      <c r="J2" s="21"/>
      <c r="K2" s="21"/>
      <c r="L2" s="21"/>
      <c r="M2" s="2"/>
    </row>
    <row r="3" spans="1:25">
      <c r="A3" s="1873" t="s">
        <v>1793</v>
      </c>
      <c r="B3" s="1873"/>
      <c r="C3" s="1873"/>
      <c r="D3" s="1873"/>
      <c r="E3" s="1873"/>
      <c r="F3" s="1873"/>
      <c r="G3" s="1873"/>
      <c r="H3" s="1873"/>
      <c r="I3" s="1873"/>
      <c r="J3" s="1873"/>
      <c r="K3" s="1873"/>
      <c r="L3" s="1873"/>
      <c r="M3" s="1873"/>
    </row>
    <row r="4" spans="1:25">
      <c r="A4" s="21"/>
      <c r="B4" s="47"/>
      <c r="C4" s="21"/>
      <c r="D4" s="21"/>
      <c r="E4" s="21"/>
      <c r="F4" s="21"/>
      <c r="G4" s="21"/>
      <c r="H4" s="21"/>
      <c r="I4" s="21"/>
      <c r="J4" s="21"/>
      <c r="K4" s="21"/>
      <c r="L4" s="21"/>
      <c r="M4" s="2"/>
    </row>
    <row r="5" spans="1:25">
      <c r="A5" s="214" t="s">
        <v>80</v>
      </c>
      <c r="B5" s="1655" t="s">
        <v>2350</v>
      </c>
      <c r="C5" s="1655"/>
      <c r="D5" s="1655"/>
      <c r="E5" s="1655"/>
      <c r="F5" s="1655"/>
      <c r="G5" s="1655"/>
      <c r="H5" s="1655"/>
      <c r="I5" s="1655"/>
      <c r="J5" s="1655"/>
      <c r="K5" s="1655"/>
      <c r="L5" s="1655"/>
      <c r="M5" s="1655"/>
    </row>
    <row r="6" spans="1:25" ht="16.2">
      <c r="A6" s="5"/>
      <c r="B6" s="5" t="s">
        <v>64</v>
      </c>
      <c r="C6" s="5"/>
      <c r="D6" s="4"/>
      <c r="E6" s="4"/>
      <c r="F6" s="3"/>
      <c r="G6" s="3"/>
      <c r="H6" s="3"/>
      <c r="I6" s="2"/>
      <c r="J6" s="2"/>
      <c r="K6" s="2"/>
      <c r="L6" s="2"/>
      <c r="M6" s="2"/>
    </row>
    <row r="7" spans="1:25">
      <c r="B7" s="1686" t="s">
        <v>2349</v>
      </c>
      <c r="C7" s="1686"/>
      <c r="D7" s="1686"/>
      <c r="E7" s="1686"/>
      <c r="F7" s="1686"/>
      <c r="G7" s="1686"/>
      <c r="H7" s="1686"/>
      <c r="I7" s="1686"/>
      <c r="J7" s="1686"/>
      <c r="K7" s="1686"/>
      <c r="L7" s="1686"/>
      <c r="M7" s="1686"/>
    </row>
    <row r="8" spans="1:25">
      <c r="B8" s="1686"/>
      <c r="C8" s="1686"/>
      <c r="D8" s="1686"/>
      <c r="E8" s="1686"/>
      <c r="F8" s="1686"/>
      <c r="G8" s="1686"/>
      <c r="H8" s="1686"/>
      <c r="I8" s="1686"/>
      <c r="J8" s="1686"/>
      <c r="K8" s="1686"/>
      <c r="L8" s="1686"/>
      <c r="M8" s="1686"/>
    </row>
    <row r="9" spans="1:25" s="37" customFormat="1" ht="15.6" customHeight="1">
      <c r="A9" s="1"/>
      <c r="B9" s="1686"/>
      <c r="C9" s="1686"/>
      <c r="D9" s="1686"/>
      <c r="E9" s="1686"/>
      <c r="F9" s="1686"/>
      <c r="G9" s="1686"/>
      <c r="H9" s="1686"/>
      <c r="I9" s="1686"/>
      <c r="J9" s="1686"/>
      <c r="K9" s="1686"/>
      <c r="L9" s="1686"/>
      <c r="M9" s="1686"/>
      <c r="N9" s="87"/>
      <c r="O9" s="87"/>
      <c r="P9" s="87"/>
      <c r="Q9" s="87"/>
      <c r="R9" s="87"/>
      <c r="S9" s="87"/>
      <c r="T9" s="87"/>
      <c r="U9" s="87"/>
      <c r="V9" s="87"/>
      <c r="W9" s="87"/>
      <c r="X9" s="87"/>
      <c r="Y9" s="87"/>
    </row>
    <row r="10" spans="1:25">
      <c r="A10" s="214" t="s">
        <v>9</v>
      </c>
      <c r="B10" s="1655" t="s">
        <v>2348</v>
      </c>
      <c r="C10" s="1655"/>
      <c r="D10" s="1655"/>
      <c r="E10" s="1655"/>
      <c r="F10" s="1655"/>
      <c r="G10" s="1655"/>
      <c r="H10" s="1655"/>
      <c r="I10" s="1655"/>
      <c r="J10" s="1655"/>
      <c r="K10" s="1655"/>
      <c r="L10" s="45"/>
      <c r="M10" s="45"/>
    </row>
    <row r="11" spans="1:25" ht="16.2">
      <c r="A11" s="5"/>
      <c r="B11" s="5" t="s">
        <v>64</v>
      </c>
      <c r="C11" s="5"/>
      <c r="D11" s="4"/>
      <c r="E11" s="4"/>
      <c r="F11" s="3"/>
      <c r="G11" s="3"/>
      <c r="H11" s="3"/>
      <c r="I11" s="2"/>
      <c r="J11" s="2"/>
      <c r="K11" s="2"/>
      <c r="L11" s="2"/>
      <c r="M11" s="2"/>
    </row>
    <row r="12" spans="1:25" s="37" customFormat="1">
      <c r="A12" s="1"/>
      <c r="B12" s="1685" t="s">
        <v>2347</v>
      </c>
      <c r="C12" s="1685"/>
      <c r="D12" s="1685"/>
      <c r="E12" s="1685"/>
      <c r="F12" s="1685"/>
      <c r="G12" s="1685"/>
      <c r="H12" s="1685"/>
      <c r="I12" s="1685"/>
      <c r="J12" s="1685"/>
      <c r="K12" s="1685"/>
      <c r="L12" s="1685"/>
      <c r="M12" s="1685"/>
      <c r="N12" s="87"/>
      <c r="O12" s="87"/>
      <c r="P12" s="87"/>
      <c r="Q12" s="87"/>
      <c r="R12" s="87"/>
      <c r="S12" s="87"/>
      <c r="T12" s="87"/>
      <c r="U12" s="87"/>
      <c r="V12" s="87"/>
      <c r="W12" s="87"/>
      <c r="X12" s="87"/>
      <c r="Y12" s="87"/>
    </row>
    <row r="13" spans="1:25" s="37" customFormat="1">
      <c r="A13" s="1"/>
      <c r="B13" s="1685"/>
      <c r="C13" s="1685"/>
      <c r="D13" s="1685"/>
      <c r="E13" s="1685"/>
      <c r="F13" s="1685"/>
      <c r="G13" s="1685"/>
      <c r="H13" s="1685"/>
      <c r="I13" s="1685"/>
      <c r="J13" s="1685"/>
      <c r="K13" s="1685"/>
      <c r="L13" s="1685"/>
      <c r="M13" s="1685"/>
      <c r="N13" s="87"/>
      <c r="O13" s="87"/>
      <c r="P13" s="87"/>
      <c r="Q13" s="87"/>
      <c r="R13" s="87"/>
      <c r="S13" s="87"/>
      <c r="T13" s="87"/>
      <c r="U13" s="87"/>
      <c r="V13" s="87"/>
      <c r="W13" s="87"/>
      <c r="X13" s="87"/>
      <c r="Y13" s="87"/>
    </row>
    <row r="14" spans="1:25" customFormat="1">
      <c r="A14" s="1"/>
      <c r="B14" s="1685"/>
      <c r="C14" s="1685"/>
      <c r="D14" s="1685"/>
      <c r="E14" s="1685"/>
      <c r="F14" s="1685"/>
      <c r="G14" s="1685"/>
      <c r="H14" s="1685"/>
      <c r="I14" s="1685"/>
      <c r="J14" s="1685"/>
      <c r="K14" s="1685"/>
      <c r="L14" s="1685"/>
      <c r="M14" s="1685"/>
    </row>
    <row r="15" spans="1:25">
      <c r="A15" s="21" t="s">
        <v>2346</v>
      </c>
      <c r="B15" s="1061"/>
      <c r="C15" s="1061"/>
      <c r="D15" s="1061"/>
      <c r="E15" s="1060"/>
      <c r="F15" s="1060"/>
      <c r="G15" s="21"/>
      <c r="H15" s="21"/>
      <c r="I15" s="21"/>
      <c r="J15" s="21"/>
      <c r="K15" s="21"/>
      <c r="L15" s="21"/>
      <c r="M15" s="2"/>
    </row>
    <row r="16" spans="1:25">
      <c r="A16" s="21"/>
      <c r="B16" s="1061"/>
      <c r="C16" s="1061"/>
      <c r="D16" s="1061"/>
      <c r="E16" s="1060"/>
      <c r="F16" s="1060"/>
      <c r="G16" s="21"/>
      <c r="H16" s="21"/>
      <c r="I16" s="21"/>
      <c r="J16" s="21"/>
      <c r="K16" s="21"/>
      <c r="L16" s="21"/>
      <c r="M16" s="2"/>
    </row>
    <row r="17" spans="1:13">
      <c r="A17" s="484" t="s">
        <v>2345</v>
      </c>
      <c r="B17" s="1061"/>
      <c r="C17" s="1061"/>
      <c r="D17" s="1061"/>
      <c r="E17" s="1060"/>
      <c r="F17" s="1060"/>
      <c r="G17" s="21"/>
      <c r="H17" s="21"/>
      <c r="I17" s="21"/>
      <c r="J17" s="772" t="s">
        <v>1907</v>
      </c>
      <c r="K17" s="470">
        <v>800</v>
      </c>
      <c r="L17" s="470" t="s">
        <v>2313</v>
      </c>
      <c r="M17" s="470">
        <v>200</v>
      </c>
    </row>
    <row r="18" spans="1:13">
      <c r="A18" s="484" t="s">
        <v>2344</v>
      </c>
      <c r="B18" s="1061"/>
      <c r="C18" s="1061"/>
      <c r="D18" s="1061"/>
      <c r="E18" s="1060"/>
      <c r="F18" s="1060"/>
      <c r="G18" s="21"/>
      <c r="H18" s="21"/>
      <c r="I18" s="21"/>
      <c r="J18" s="772" t="s">
        <v>2343</v>
      </c>
      <c r="K18" s="773">
        <v>3.5000000000000003E-2</v>
      </c>
      <c r="L18" s="21"/>
      <c r="M18" s="2"/>
    </row>
    <row r="19" spans="1:13">
      <c r="A19" s="484" t="s">
        <v>2342</v>
      </c>
      <c r="B19" s="1061"/>
      <c r="C19" s="1061"/>
      <c r="D19" s="1061"/>
      <c r="E19" s="1060"/>
      <c r="F19" s="1060"/>
      <c r="G19" s="21"/>
      <c r="H19" s="21"/>
      <c r="I19" s="21"/>
      <c r="J19" s="1366" t="s">
        <v>2341</v>
      </c>
      <c r="K19" s="1368">
        <v>0.15</v>
      </c>
      <c r="L19" s="21"/>
      <c r="M19" s="2"/>
    </row>
    <row r="20" spans="1:13">
      <c r="A20" s="1367" t="s">
        <v>2340</v>
      </c>
      <c r="B20" s="1061"/>
      <c r="C20" s="1061"/>
      <c r="D20" s="1061"/>
      <c r="E20" s="1060"/>
      <c r="F20" s="1060"/>
      <c r="G20" s="21"/>
      <c r="H20" s="21"/>
      <c r="I20" s="21"/>
      <c r="J20" s="1932" t="s">
        <v>2339</v>
      </c>
      <c r="K20" s="1934">
        <v>2</v>
      </c>
      <c r="L20" s="1936" t="s">
        <v>2338</v>
      </c>
      <c r="M20" s="1937"/>
    </row>
    <row r="21" spans="1:13">
      <c r="A21" s="21"/>
      <c r="B21" s="1061"/>
      <c r="C21" s="1061"/>
      <c r="D21" s="1061"/>
      <c r="E21" s="1060"/>
      <c r="F21" s="1060"/>
      <c r="G21" s="21"/>
      <c r="H21" s="21"/>
      <c r="I21" s="21"/>
      <c r="J21" s="1933"/>
      <c r="K21" s="1935"/>
      <c r="L21" s="1938"/>
      <c r="M21" s="1939"/>
    </row>
    <row r="22" spans="1:13" ht="15.6" customHeight="1">
      <c r="A22" s="21"/>
      <c r="B22" s="1814" t="s">
        <v>2337</v>
      </c>
      <c r="C22" s="1815"/>
      <c r="D22" s="1736" t="s">
        <v>1952</v>
      </c>
      <c r="E22" s="1060"/>
      <c r="F22" s="1060"/>
      <c r="G22" s="21"/>
      <c r="H22" s="21"/>
      <c r="I22" s="21"/>
      <c r="J22" s="21"/>
      <c r="K22" s="21"/>
      <c r="L22" s="21"/>
      <c r="M22" s="2"/>
    </row>
    <row r="23" spans="1:13">
      <c r="A23" s="21"/>
      <c r="B23" s="1816"/>
      <c r="C23" s="1817"/>
      <c r="D23" s="1736"/>
      <c r="E23" s="1060"/>
      <c r="F23" s="1060"/>
      <c r="G23" s="21"/>
      <c r="H23" s="21"/>
      <c r="I23" s="21"/>
      <c r="J23" s="21"/>
      <c r="K23" s="21"/>
      <c r="L23" s="21"/>
      <c r="M23" s="2"/>
    </row>
    <row r="24" spans="1:13">
      <c r="A24" s="21"/>
      <c r="B24" s="1918">
        <v>100</v>
      </c>
      <c r="C24" s="1940"/>
      <c r="D24" s="724">
        <v>0.91349999999999998</v>
      </c>
      <c r="E24" s="1060"/>
      <c r="F24" s="1060"/>
      <c r="G24" s="21"/>
      <c r="H24" s="21"/>
      <c r="I24" s="21"/>
      <c r="J24" s="21"/>
      <c r="K24" s="21"/>
      <c r="L24" s="21"/>
      <c r="M24" s="2"/>
    </row>
    <row r="25" spans="1:13">
      <c r="A25" s="21"/>
      <c r="B25" s="1918">
        <v>225</v>
      </c>
      <c r="C25" s="1940"/>
      <c r="D25" s="724">
        <v>1.8499999999999999E-2</v>
      </c>
      <c r="E25" s="1060"/>
      <c r="F25" s="1060"/>
      <c r="G25" s="21"/>
      <c r="H25" s="21"/>
      <c r="I25" s="21"/>
      <c r="J25" s="21"/>
      <c r="K25" s="21"/>
      <c r="L25" s="21"/>
      <c r="M25" s="2"/>
    </row>
    <row r="26" spans="1:13">
      <c r="A26" s="21"/>
      <c r="B26" s="1918">
        <v>275</v>
      </c>
      <c r="C26" s="1940"/>
      <c r="D26" s="724">
        <v>1.6E-2</v>
      </c>
      <c r="E26" s="1060"/>
      <c r="F26" s="1060"/>
      <c r="G26" s="21"/>
      <c r="H26" s="21"/>
      <c r="I26" s="21"/>
      <c r="J26" s="21"/>
      <c r="K26" s="21"/>
      <c r="L26" s="21"/>
      <c r="M26" s="2"/>
    </row>
    <row r="27" spans="1:13">
      <c r="A27" s="21"/>
      <c r="B27" s="1918">
        <v>350</v>
      </c>
      <c r="C27" s="1940"/>
      <c r="D27" s="724">
        <v>1.35E-2</v>
      </c>
      <c r="E27" s="1060"/>
      <c r="F27" s="1060"/>
      <c r="G27" s="21"/>
      <c r="H27" s="21"/>
      <c r="I27" s="21"/>
      <c r="J27" s="21"/>
      <c r="K27" s="21"/>
      <c r="L27" s="21"/>
      <c r="M27" s="2"/>
    </row>
    <row r="28" spans="1:13">
      <c r="A28" s="21"/>
      <c r="B28" s="1918">
        <v>450</v>
      </c>
      <c r="C28" s="1940"/>
      <c r="D28" s="724">
        <v>1.2500000000000001E-2</v>
      </c>
      <c r="E28" s="1060"/>
      <c r="F28" s="1060"/>
      <c r="G28" s="21"/>
      <c r="H28" s="21"/>
      <c r="I28" s="21"/>
      <c r="J28" s="21"/>
      <c r="K28" s="21"/>
      <c r="L28" s="21"/>
      <c r="M28" s="2"/>
    </row>
    <row r="29" spans="1:13">
      <c r="A29" s="21"/>
      <c r="B29" s="1918">
        <v>550</v>
      </c>
      <c r="C29" s="1940"/>
      <c r="D29" s="724">
        <v>7.0000000000000001E-3</v>
      </c>
      <c r="E29" s="1060"/>
      <c r="F29" s="1060"/>
      <c r="G29" s="21"/>
      <c r="H29" s="21"/>
      <c r="I29" s="21"/>
      <c r="J29" s="21"/>
      <c r="K29" s="21"/>
      <c r="L29" s="21"/>
      <c r="M29" s="2"/>
    </row>
    <row r="30" spans="1:13">
      <c r="A30" s="21"/>
      <c r="B30" s="1918">
        <v>650</v>
      </c>
      <c r="C30" s="1940"/>
      <c r="D30" s="724">
        <v>5.4999999999999997E-3</v>
      </c>
      <c r="E30" s="1060"/>
      <c r="F30" s="1060"/>
      <c r="G30" s="21"/>
      <c r="H30" s="21"/>
      <c r="I30" s="21"/>
      <c r="J30" s="21"/>
      <c r="K30" s="21"/>
      <c r="L30" s="21"/>
      <c r="M30" s="2"/>
    </row>
    <row r="31" spans="1:13">
      <c r="A31" s="21"/>
      <c r="B31" s="1918">
        <v>750</v>
      </c>
      <c r="C31" s="1940"/>
      <c r="D31" s="724">
        <v>4.0000000000000001E-3</v>
      </c>
      <c r="E31" s="1060"/>
      <c r="F31" s="1060"/>
      <c r="G31" s="21"/>
      <c r="H31" s="21"/>
      <c r="I31" s="21"/>
      <c r="J31" s="21"/>
      <c r="K31" s="21"/>
      <c r="L31" s="21"/>
      <c r="M31" s="2"/>
    </row>
    <row r="32" spans="1:13">
      <c r="A32" s="21"/>
      <c r="B32" s="1918">
        <v>850</v>
      </c>
      <c r="C32" s="1940"/>
      <c r="D32" s="724">
        <v>3.5000000000000001E-3</v>
      </c>
      <c r="E32" s="1060"/>
      <c r="F32" s="1060"/>
      <c r="G32" s="21"/>
      <c r="H32" s="21"/>
      <c r="I32" s="21"/>
      <c r="J32" s="21"/>
      <c r="K32" s="21"/>
      <c r="L32" s="21"/>
      <c r="M32" s="2"/>
    </row>
    <row r="33" spans="1:25">
      <c r="A33" s="21"/>
      <c r="B33" s="1918">
        <v>950</v>
      </c>
      <c r="C33" s="1940"/>
      <c r="D33" s="724">
        <v>6.0000000000000001E-3</v>
      </c>
      <c r="E33" s="1060"/>
      <c r="F33" s="1060"/>
      <c r="G33" s="21"/>
      <c r="H33" s="21"/>
      <c r="I33" s="21"/>
      <c r="J33" s="21"/>
      <c r="K33" s="21"/>
      <c r="L33" s="21"/>
      <c r="M33" s="2"/>
    </row>
    <row r="34" spans="1:25">
      <c r="A34" s="21"/>
      <c r="B34" s="1061"/>
      <c r="C34" s="1061"/>
      <c r="D34" s="1061"/>
      <c r="E34" s="1060"/>
      <c r="F34" s="1060"/>
      <c r="G34" s="21"/>
      <c r="H34" s="21"/>
      <c r="I34" s="21"/>
      <c r="J34" s="21"/>
      <c r="K34" s="21"/>
      <c r="L34" s="21"/>
      <c r="M34" s="2"/>
    </row>
    <row r="35" spans="1:25">
      <c r="A35" s="21" t="s">
        <v>2336</v>
      </c>
      <c r="B35" s="1061"/>
      <c r="C35" s="1061"/>
      <c r="D35" s="1061"/>
      <c r="E35" s="1060"/>
      <c r="F35" s="1060"/>
      <c r="G35" s="21"/>
      <c r="H35" s="21"/>
      <c r="I35" s="21"/>
      <c r="J35" s="772" t="s">
        <v>2226</v>
      </c>
      <c r="K35" s="1103">
        <v>0.05</v>
      </c>
      <c r="L35" s="21"/>
      <c r="M35" s="2"/>
    </row>
    <row r="36" spans="1:25">
      <c r="A36" s="21"/>
      <c r="B36" s="1061"/>
      <c r="C36" s="1061"/>
      <c r="D36" s="1061"/>
      <c r="E36" s="1060"/>
      <c r="F36" s="1060"/>
      <c r="G36" s="21"/>
      <c r="H36" s="21"/>
      <c r="I36" s="21"/>
      <c r="J36" s="21"/>
      <c r="K36" s="21"/>
      <c r="L36" s="21"/>
      <c r="M36" s="2"/>
    </row>
    <row r="37" spans="1:25">
      <c r="A37" s="214" t="s">
        <v>7</v>
      </c>
      <c r="B37" s="1655" t="s">
        <v>2335</v>
      </c>
      <c r="C37" s="1655"/>
      <c r="D37" s="1655"/>
      <c r="E37" s="1655"/>
      <c r="F37" s="1655"/>
      <c r="G37" s="1655"/>
      <c r="H37" s="1655"/>
      <c r="I37" s="1655"/>
      <c r="J37" s="1655"/>
      <c r="K37" s="1655"/>
      <c r="L37" s="1655"/>
      <c r="M37" s="1655"/>
    </row>
    <row r="38" spans="1:25" s="317" customFormat="1" ht="16.2">
      <c r="A38" s="5"/>
      <c r="B38" s="5" t="s">
        <v>64</v>
      </c>
      <c r="C38" s="5"/>
      <c r="D38" s="4"/>
      <c r="E38" s="4"/>
      <c r="F38" s="3"/>
      <c r="G38" s="3"/>
      <c r="H38" s="3"/>
      <c r="I38" s="2"/>
      <c r="J38" s="2"/>
      <c r="K38" s="2"/>
      <c r="L38" s="2"/>
      <c r="M38" s="2"/>
      <c r="N38" s="1323"/>
      <c r="O38" s="1323"/>
      <c r="P38" s="1323"/>
      <c r="Q38" s="1323"/>
      <c r="R38" s="1323"/>
      <c r="S38" s="1323"/>
      <c r="T38" s="1323"/>
      <c r="U38" s="1323"/>
      <c r="V38" s="1323"/>
      <c r="W38" s="1323"/>
      <c r="X38" s="1323"/>
      <c r="Y38" s="1323"/>
    </row>
    <row r="39" spans="1:25" s="317" customFormat="1">
      <c r="A39" s="1"/>
      <c r="B39" s="1"/>
      <c r="C39" s="1"/>
      <c r="D39" s="1"/>
      <c r="E39" s="1"/>
      <c r="F39" s="1"/>
      <c r="G39" s="1"/>
      <c r="H39" s="1"/>
      <c r="I39" s="1"/>
      <c r="J39" s="1"/>
      <c r="K39" s="1"/>
      <c r="L39" s="1"/>
      <c r="M39" s="1"/>
      <c r="N39" s="1323"/>
      <c r="O39" s="1323"/>
      <c r="P39" s="1323"/>
      <c r="Q39" s="1323"/>
      <c r="R39" s="1323"/>
      <c r="S39" s="1323"/>
      <c r="T39" s="1323"/>
      <c r="U39" s="1323"/>
      <c r="V39" s="1323"/>
      <c r="W39" s="1323"/>
      <c r="X39" s="1323"/>
      <c r="Y39" s="1323"/>
    </row>
    <row r="40" spans="1:25" s="317" customFormat="1" ht="46.8">
      <c r="A40" s="1"/>
      <c r="B40" s="277" t="s">
        <v>2074</v>
      </c>
      <c r="C40" s="1171" t="s">
        <v>2334</v>
      </c>
      <c r="D40" s="1171" t="s">
        <v>2333</v>
      </c>
      <c r="E40" s="1171" t="s">
        <v>2332</v>
      </c>
      <c r="F40" s="1"/>
      <c r="G40" s="1"/>
      <c r="H40" s="1"/>
      <c r="I40" s="1"/>
      <c r="J40" s="1"/>
      <c r="K40" s="1"/>
      <c r="L40" s="1"/>
      <c r="M40" s="1"/>
      <c r="N40" s="1323"/>
      <c r="O40" s="1323"/>
      <c r="P40" s="1323"/>
      <c r="Q40" s="1323"/>
      <c r="R40" s="1323"/>
      <c r="S40" s="1323"/>
      <c r="T40" s="1323"/>
      <c r="U40" s="1323"/>
      <c r="V40" s="1323"/>
      <c r="W40" s="1323"/>
      <c r="X40" s="1323"/>
      <c r="Y40" s="1323"/>
    </row>
    <row r="41" spans="1:25" s="317" customFormat="1">
      <c r="A41" s="1"/>
      <c r="B41" s="1">
        <f t="shared" ref="B41:B50" si="0">MIN($K$17,MAX(0,B24-$M$17))</f>
        <v>0</v>
      </c>
      <c r="C41" s="1">
        <f t="shared" ref="C41:C50" si="1">B41*(1-$K$19)</f>
        <v>0</v>
      </c>
      <c r="D41" s="476">
        <f t="shared" ref="D41:D50" si="2">MAX(0,-($C$52-C41/((1+$K$18)^($K$20+1))))</f>
        <v>0</v>
      </c>
      <c r="E41" s="1358">
        <f t="shared" ref="E41:E50" si="3">IF(D41&gt;0,D24,0)</f>
        <v>0</v>
      </c>
      <c r="F41" s="1"/>
      <c r="G41" s="1"/>
      <c r="H41" s="1"/>
      <c r="I41" s="1"/>
      <c r="J41" s="1"/>
      <c r="K41" s="1"/>
      <c r="L41" s="1"/>
      <c r="M41" s="1"/>
      <c r="N41" s="1323"/>
      <c r="O41" s="1323"/>
      <c r="P41" s="1323"/>
      <c r="Q41" s="1323"/>
      <c r="R41" s="1323"/>
      <c r="S41" s="1323"/>
      <c r="T41" s="1323"/>
      <c r="U41" s="1323"/>
      <c r="V41" s="1323"/>
      <c r="W41" s="1323"/>
      <c r="X41" s="1323"/>
      <c r="Y41" s="1323"/>
    </row>
    <row r="42" spans="1:25" s="317" customFormat="1">
      <c r="A42" s="1"/>
      <c r="B42" s="1">
        <f t="shared" si="0"/>
        <v>25</v>
      </c>
      <c r="C42" s="1">
        <f t="shared" si="1"/>
        <v>21.25</v>
      </c>
      <c r="D42" s="476">
        <f t="shared" si="2"/>
        <v>0</v>
      </c>
      <c r="E42" s="1358">
        <f t="shared" si="3"/>
        <v>0</v>
      </c>
      <c r="F42" s="1"/>
      <c r="G42" s="1"/>
      <c r="H42" s="1"/>
      <c r="I42" s="1"/>
      <c r="J42" s="1"/>
      <c r="K42" s="1"/>
      <c r="L42" s="1"/>
      <c r="M42" s="1"/>
      <c r="N42" s="1323"/>
      <c r="O42" s="1323"/>
      <c r="P42" s="1323"/>
      <c r="Q42" s="1323"/>
      <c r="R42" s="1323"/>
      <c r="S42" s="1323"/>
      <c r="T42" s="1323"/>
      <c r="U42" s="1323"/>
      <c r="V42" s="1323"/>
      <c r="W42" s="1323"/>
      <c r="X42" s="1323"/>
      <c r="Y42" s="1323"/>
    </row>
    <row r="43" spans="1:25" s="317" customFormat="1">
      <c r="A43" s="1"/>
      <c r="B43" s="1">
        <f t="shared" si="0"/>
        <v>75</v>
      </c>
      <c r="C43" s="1">
        <f t="shared" si="1"/>
        <v>63.75</v>
      </c>
      <c r="D43" s="476">
        <f t="shared" si="2"/>
        <v>0</v>
      </c>
      <c r="E43" s="1358">
        <f t="shared" si="3"/>
        <v>0</v>
      </c>
      <c r="F43" s="1"/>
      <c r="G43" s="1"/>
      <c r="H43" s="1"/>
      <c r="I43" s="1"/>
      <c r="J43" s="1"/>
      <c r="K43" s="1"/>
      <c r="L43" s="1"/>
      <c r="M43" s="1"/>
      <c r="N43" s="1323"/>
      <c r="O43" s="1323"/>
      <c r="P43" s="1323"/>
      <c r="Q43" s="1323"/>
      <c r="R43" s="1323"/>
      <c r="S43" s="1323"/>
      <c r="T43" s="1323"/>
      <c r="U43" s="1323"/>
      <c r="V43" s="1323"/>
      <c r="W43" s="1323"/>
      <c r="X43" s="1323"/>
      <c r="Y43" s="1323"/>
    </row>
    <row r="44" spans="1:25" s="317" customFormat="1">
      <c r="A44" s="1"/>
      <c r="B44" s="1">
        <f t="shared" si="0"/>
        <v>150</v>
      </c>
      <c r="C44" s="1">
        <f t="shared" si="1"/>
        <v>127.5</v>
      </c>
      <c r="D44" s="476">
        <f t="shared" si="2"/>
        <v>0</v>
      </c>
      <c r="E44" s="1358">
        <f t="shared" si="3"/>
        <v>0</v>
      </c>
      <c r="F44" s="1"/>
      <c r="G44" s="1"/>
      <c r="H44" s="1"/>
      <c r="I44" s="1"/>
      <c r="J44" s="1"/>
      <c r="K44" s="1"/>
      <c r="L44" s="1"/>
      <c r="M44" s="1"/>
      <c r="N44" s="1323"/>
      <c r="O44" s="1323"/>
      <c r="P44" s="1323"/>
      <c r="Q44" s="1323"/>
      <c r="R44" s="1323"/>
      <c r="S44" s="1323"/>
      <c r="T44" s="1323"/>
      <c r="U44" s="1323"/>
      <c r="V44" s="1323"/>
      <c r="W44" s="1323"/>
      <c r="X44" s="1323"/>
      <c r="Y44" s="1323"/>
    </row>
    <row r="45" spans="1:25" s="317" customFormat="1">
      <c r="A45" s="1"/>
      <c r="B45" s="1">
        <f t="shared" si="0"/>
        <v>250</v>
      </c>
      <c r="C45" s="1">
        <f t="shared" si="1"/>
        <v>212.5</v>
      </c>
      <c r="D45" s="476">
        <f t="shared" si="2"/>
        <v>44.01733650086274</v>
      </c>
      <c r="E45" s="1358">
        <f t="shared" si="3"/>
        <v>1.2500000000000001E-2</v>
      </c>
      <c r="F45" s="1"/>
      <c r="G45" s="1"/>
      <c r="H45" s="1"/>
      <c r="I45" s="1"/>
      <c r="J45" s="1"/>
      <c r="K45" s="1"/>
      <c r="L45" s="1"/>
      <c r="M45" s="1"/>
      <c r="N45" s="1323"/>
      <c r="O45" s="1323"/>
      <c r="P45" s="1323"/>
      <c r="Q45" s="1323"/>
      <c r="R45" s="1323"/>
      <c r="S45" s="1323"/>
      <c r="T45" s="1323"/>
      <c r="U45" s="1323"/>
      <c r="V45" s="1323"/>
      <c r="W45" s="1323"/>
      <c r="X45" s="1323"/>
      <c r="Y45" s="1323"/>
    </row>
    <row r="46" spans="1:25" s="317" customFormat="1">
      <c r="A46" s="1"/>
      <c r="B46" s="1">
        <f t="shared" si="0"/>
        <v>350</v>
      </c>
      <c r="C46" s="1">
        <f t="shared" si="1"/>
        <v>297.5</v>
      </c>
      <c r="D46" s="476">
        <f t="shared" si="2"/>
        <v>120.68246648264466</v>
      </c>
      <c r="E46" s="1358">
        <f t="shared" si="3"/>
        <v>7.0000000000000001E-3</v>
      </c>
      <c r="F46" s="1"/>
      <c r="G46" s="1"/>
      <c r="H46" s="1"/>
      <c r="I46" s="1"/>
      <c r="J46" s="1"/>
      <c r="K46" s="1"/>
      <c r="L46" s="1"/>
      <c r="M46" s="1"/>
      <c r="N46" s="1323"/>
      <c r="O46" s="1323"/>
      <c r="P46" s="1323"/>
      <c r="Q46" s="1323"/>
      <c r="R46" s="1323"/>
      <c r="S46" s="1323"/>
      <c r="T46" s="1323"/>
      <c r="U46" s="1323"/>
      <c r="V46" s="1323"/>
      <c r="W46" s="1323"/>
      <c r="X46" s="1323"/>
      <c r="Y46" s="1323"/>
    </row>
    <row r="47" spans="1:25" s="317" customFormat="1">
      <c r="A47" s="1"/>
      <c r="B47" s="1">
        <f t="shared" si="0"/>
        <v>450</v>
      </c>
      <c r="C47" s="1">
        <f t="shared" si="1"/>
        <v>382.5</v>
      </c>
      <c r="D47" s="476">
        <f t="shared" si="2"/>
        <v>197.34759646442654</v>
      </c>
      <c r="E47" s="1358">
        <f t="shared" si="3"/>
        <v>5.4999999999999997E-3</v>
      </c>
      <c r="F47" s="1"/>
      <c r="G47" s="1"/>
      <c r="H47" s="1"/>
      <c r="I47" s="1"/>
      <c r="J47" s="1"/>
      <c r="K47" s="1"/>
      <c r="L47" s="1"/>
      <c r="M47" s="1"/>
      <c r="N47" s="1323"/>
      <c r="O47" s="1323"/>
      <c r="P47" s="1323"/>
      <c r="Q47" s="1323"/>
      <c r="R47" s="1323"/>
      <c r="S47" s="1323"/>
      <c r="T47" s="1323"/>
      <c r="U47" s="1323"/>
      <c r="V47" s="1323"/>
      <c r="W47" s="1323"/>
      <c r="X47" s="1323"/>
      <c r="Y47" s="1323"/>
    </row>
    <row r="48" spans="1:25" s="317" customFormat="1">
      <c r="A48" s="1"/>
      <c r="B48" s="1">
        <f t="shared" si="0"/>
        <v>550</v>
      </c>
      <c r="C48" s="1">
        <f t="shared" si="1"/>
        <v>467.5</v>
      </c>
      <c r="D48" s="476">
        <f t="shared" si="2"/>
        <v>274.01272644620843</v>
      </c>
      <c r="E48" s="1358">
        <f t="shared" si="3"/>
        <v>4.0000000000000001E-3</v>
      </c>
      <c r="F48" s="1"/>
      <c r="G48" s="1"/>
      <c r="H48" s="1"/>
      <c r="I48" s="1"/>
      <c r="J48" s="1"/>
      <c r="K48" s="1"/>
      <c r="L48" s="1"/>
      <c r="M48" s="1"/>
      <c r="N48" s="1323"/>
      <c r="O48" s="1323"/>
      <c r="P48" s="1323"/>
      <c r="Q48" s="1323"/>
      <c r="R48" s="1323"/>
      <c r="S48" s="1323"/>
      <c r="T48" s="1323"/>
      <c r="U48" s="1323"/>
      <c r="V48" s="1323"/>
      <c r="W48" s="1323"/>
      <c r="X48" s="1323"/>
      <c r="Y48" s="1323"/>
    </row>
    <row r="49" spans="1:25" s="317" customFormat="1">
      <c r="A49" s="1"/>
      <c r="B49" s="1">
        <f t="shared" si="0"/>
        <v>650</v>
      </c>
      <c r="C49" s="1">
        <f t="shared" si="1"/>
        <v>552.5</v>
      </c>
      <c r="D49" s="476">
        <f t="shared" si="2"/>
        <v>350.67785642799038</v>
      </c>
      <c r="E49" s="1358">
        <f t="shared" si="3"/>
        <v>3.5000000000000001E-3</v>
      </c>
      <c r="F49" s="1"/>
      <c r="G49" s="1"/>
      <c r="H49" s="1"/>
      <c r="I49" s="1"/>
      <c r="J49" s="1"/>
      <c r="K49" s="1"/>
      <c r="L49" s="1"/>
      <c r="M49" s="1"/>
      <c r="N49" s="1323"/>
      <c r="O49" s="1323"/>
      <c r="P49" s="1323"/>
      <c r="Q49" s="1323"/>
      <c r="R49" s="1323"/>
      <c r="S49" s="1323"/>
      <c r="T49" s="1323"/>
      <c r="U49" s="1323"/>
      <c r="V49" s="1323"/>
      <c r="W49" s="1323"/>
      <c r="X49" s="1323"/>
      <c r="Y49" s="1323"/>
    </row>
    <row r="50" spans="1:25" s="317" customFormat="1">
      <c r="A50" s="1"/>
      <c r="B50" s="1">
        <f t="shared" si="0"/>
        <v>750</v>
      </c>
      <c r="C50" s="1">
        <f t="shared" si="1"/>
        <v>637.5</v>
      </c>
      <c r="D50" s="476">
        <f t="shared" si="2"/>
        <v>427.34298640977221</v>
      </c>
      <c r="E50" s="1358">
        <f t="shared" si="3"/>
        <v>6.0000000000000001E-3</v>
      </c>
      <c r="F50" s="1"/>
      <c r="G50" s="1"/>
      <c r="H50" s="1"/>
      <c r="I50" s="1"/>
      <c r="J50" s="1"/>
      <c r="K50" s="1"/>
      <c r="L50" s="1"/>
      <c r="M50" s="1"/>
      <c r="N50" s="1323"/>
      <c r="O50" s="1323"/>
      <c r="P50" s="1323"/>
      <c r="Q50" s="1323"/>
      <c r="R50" s="1323"/>
      <c r="S50" s="1323"/>
      <c r="T50" s="1323"/>
      <c r="U50" s="1323"/>
      <c r="V50" s="1323"/>
      <c r="W50" s="1323"/>
      <c r="X50" s="1323"/>
      <c r="Y50" s="1323"/>
    </row>
    <row r="51" spans="1:25" s="317" customFormat="1">
      <c r="A51" s="1"/>
      <c r="B51" s="1"/>
      <c r="C51" s="1"/>
      <c r="D51" s="1"/>
      <c r="E51" s="1"/>
      <c r="F51" s="1"/>
      <c r="G51" s="1"/>
      <c r="H51" s="1"/>
      <c r="I51" s="1"/>
      <c r="J51" s="1"/>
      <c r="K51" s="1"/>
      <c r="L51" s="1"/>
      <c r="M51" s="1"/>
      <c r="N51" s="1323"/>
      <c r="O51" s="1323"/>
      <c r="P51" s="1323"/>
      <c r="Q51" s="1323"/>
      <c r="R51" s="1323"/>
      <c r="S51" s="1323"/>
      <c r="T51" s="1323"/>
      <c r="U51" s="1323"/>
      <c r="V51" s="1323"/>
      <c r="W51" s="1323"/>
      <c r="X51" s="1323"/>
      <c r="Y51" s="1323"/>
    </row>
    <row r="52" spans="1:25" s="317" customFormat="1">
      <c r="A52" s="1"/>
      <c r="B52" s="486" t="s">
        <v>272</v>
      </c>
      <c r="C52" s="1365">
        <v>147.64548845359201</v>
      </c>
      <c r="D52" s="1"/>
      <c r="E52" s="424" t="s">
        <v>2331</v>
      </c>
      <c r="F52" s="424"/>
      <c r="G52" s="1"/>
      <c r="H52" s="1"/>
      <c r="I52" s="1"/>
      <c r="J52" s="1"/>
      <c r="K52" s="1"/>
      <c r="L52" s="1"/>
      <c r="M52" s="1"/>
      <c r="N52" s="1323"/>
      <c r="O52" s="1323"/>
      <c r="P52" s="1323"/>
      <c r="Q52" s="1323"/>
      <c r="R52" s="1323"/>
      <c r="S52" s="1323"/>
      <c r="T52" s="1323"/>
      <c r="U52" s="1323"/>
      <c r="V52" s="1323"/>
      <c r="W52" s="1323"/>
      <c r="X52" s="1323"/>
      <c r="Y52" s="1323"/>
    </row>
    <row r="53" spans="1:25" s="317" customFormat="1">
      <c r="A53" s="1"/>
      <c r="B53" s="1" t="s">
        <v>2056</v>
      </c>
      <c r="C53" s="774">
        <f>SUM(E41:E50)</f>
        <v>3.85E-2</v>
      </c>
      <c r="D53" s="1"/>
      <c r="E53" s="424" t="s">
        <v>2330</v>
      </c>
      <c r="F53" s="1364" t="s">
        <v>2329</v>
      </c>
      <c r="G53" s="1"/>
      <c r="H53" s="1"/>
      <c r="J53" s="1"/>
      <c r="K53" s="1"/>
      <c r="L53" s="1"/>
      <c r="M53" s="1"/>
      <c r="N53" s="1323"/>
      <c r="O53" s="1323"/>
      <c r="P53" s="1323"/>
      <c r="Q53" s="1323"/>
      <c r="R53" s="1323"/>
      <c r="S53" s="1323"/>
      <c r="T53" s="1323"/>
      <c r="U53" s="1323"/>
      <c r="V53" s="1323"/>
      <c r="W53" s="1323"/>
      <c r="X53" s="1323"/>
      <c r="Y53" s="1323"/>
    </row>
    <row r="54" spans="1:25" s="317" customFormat="1">
      <c r="A54" s="1"/>
      <c r="B54" s="1" t="s">
        <v>2224</v>
      </c>
      <c r="C54" s="476">
        <f>SUMPRODUCT(D41:D50,E41:E50)/C53</f>
        <v>191.37369023207989</v>
      </c>
      <c r="D54" s="1"/>
      <c r="E54" s="424" t="s">
        <v>2328</v>
      </c>
      <c r="F54" s="1364">
        <v>0</v>
      </c>
      <c r="G54" s="1"/>
      <c r="H54" s="1"/>
      <c r="I54" s="1"/>
      <c r="J54" s="1"/>
      <c r="K54" s="1"/>
      <c r="L54" s="1"/>
      <c r="M54" s="1"/>
      <c r="N54" s="1323"/>
      <c r="O54" s="1323"/>
      <c r="P54" s="1323"/>
      <c r="Q54" s="1323"/>
      <c r="R54" s="1323"/>
      <c r="S54" s="1323"/>
      <c r="T54" s="1323"/>
      <c r="U54" s="1323"/>
      <c r="V54" s="1323"/>
      <c r="W54" s="1323"/>
      <c r="X54" s="1323"/>
      <c r="Y54" s="1323"/>
    </row>
    <row r="55" spans="1:25" s="317" customFormat="1">
      <c r="A55" s="1"/>
      <c r="B55" s="1" t="s">
        <v>2226</v>
      </c>
      <c r="C55" s="1166">
        <f>C53*C54/C52</f>
        <v>4.9902554768891244E-2</v>
      </c>
      <c r="D55" s="1"/>
      <c r="E55" s="424" t="s">
        <v>2327</v>
      </c>
      <c r="F55" s="424" t="s">
        <v>2326</v>
      </c>
      <c r="G55" s="424" t="s">
        <v>2325</v>
      </c>
      <c r="H55" s="1"/>
      <c r="I55" s="1"/>
      <c r="J55" s="1"/>
      <c r="K55" s="1"/>
      <c r="L55" s="1"/>
      <c r="M55" s="1"/>
      <c r="N55" s="1323"/>
      <c r="O55" s="1323"/>
      <c r="P55" s="1323"/>
      <c r="Q55" s="1323"/>
      <c r="R55" s="1323"/>
      <c r="S55" s="1323"/>
      <c r="T55" s="1323"/>
      <c r="U55" s="1323"/>
      <c r="V55" s="1323"/>
      <c r="W55" s="1323"/>
      <c r="X55" s="1323"/>
      <c r="Y55" s="1323"/>
    </row>
    <row r="56" spans="1:25" s="591" customFormat="1" ht="15.75" customHeight="1">
      <c r="A56" s="1"/>
      <c r="B56" s="1" t="s">
        <v>2324</v>
      </c>
      <c r="C56" s="1166">
        <f>C55-5%</f>
        <v>-9.744523110875869E-5</v>
      </c>
      <c r="D56" s="1"/>
      <c r="E56" s="424"/>
      <c r="F56" s="1"/>
      <c r="G56" s="1"/>
      <c r="H56" s="1"/>
      <c r="I56" s="1"/>
      <c r="J56" s="1"/>
      <c r="K56" s="1"/>
      <c r="L56" s="1"/>
      <c r="M56" s="1"/>
    </row>
    <row r="57" spans="1:25" s="591" customFormat="1" ht="15.75" customHeight="1">
      <c r="A57" s="1"/>
      <c r="B57" s="1"/>
      <c r="C57" s="1"/>
      <c r="D57" s="1"/>
      <c r="I57" s="1"/>
      <c r="J57" s="1"/>
      <c r="K57" s="1"/>
      <c r="L57" s="1"/>
      <c r="M57" s="1"/>
    </row>
    <row r="58" spans="1:25" s="591" customFormat="1" ht="15.75" customHeight="1">
      <c r="A58" s="214" t="s">
        <v>4</v>
      </c>
      <c r="B58" s="1655" t="s">
        <v>2323</v>
      </c>
      <c r="C58" s="1655"/>
      <c r="D58" s="1655"/>
      <c r="E58" s="1655"/>
      <c r="F58" s="1655"/>
      <c r="G58" s="1655"/>
      <c r="H58" s="1655"/>
      <c r="I58" s="1655"/>
      <c r="J58" s="1655"/>
      <c r="K58" s="1655"/>
      <c r="L58" s="1655"/>
      <c r="M58" s="1655"/>
    </row>
    <row r="59" spans="1:25" s="591" customFormat="1" ht="15.75" customHeight="1">
      <c r="A59" s="5"/>
      <c r="B59" s="5" t="s">
        <v>64</v>
      </c>
      <c r="C59" s="5"/>
      <c r="D59" s="4"/>
      <c r="E59" s="4"/>
      <c r="F59" s="3"/>
      <c r="G59" s="3"/>
      <c r="H59" s="3"/>
      <c r="I59" s="2"/>
      <c r="J59" s="2"/>
      <c r="K59" s="2"/>
      <c r="L59" s="2"/>
      <c r="M59" s="2"/>
    </row>
    <row r="60" spans="1:25" s="591" customFormat="1" ht="15.75" customHeight="1">
      <c r="A60" s="1"/>
      <c r="B60" s="1685" t="s">
        <v>2322</v>
      </c>
      <c r="C60" s="1686"/>
      <c r="D60" s="1686"/>
      <c r="E60" s="1686"/>
      <c r="F60" s="1686"/>
      <c r="G60" s="1686"/>
      <c r="H60" s="1686"/>
      <c r="I60" s="1686"/>
      <c r="J60" s="1686"/>
      <c r="K60" s="1686"/>
      <c r="L60" s="1686"/>
      <c r="M60" s="1686"/>
    </row>
    <row r="61" spans="1:25" s="591" customFormat="1" ht="15.75" customHeight="1">
      <c r="A61" s="1"/>
      <c r="B61" s="1686"/>
      <c r="C61" s="1686"/>
      <c r="D61" s="1686"/>
      <c r="E61" s="1686"/>
      <c r="F61" s="1686"/>
      <c r="G61" s="1686"/>
      <c r="H61" s="1686"/>
      <c r="I61" s="1686"/>
      <c r="J61" s="1686"/>
      <c r="K61" s="1686"/>
      <c r="L61" s="1686"/>
      <c r="M61" s="1686"/>
    </row>
    <row r="62" spans="1:25" s="591" customFormat="1" ht="15.75" customHeight="1">
      <c r="A62" s="1"/>
      <c r="B62" s="1686"/>
      <c r="C62" s="1686"/>
      <c r="D62" s="1686"/>
      <c r="E62" s="1686"/>
      <c r="F62" s="1686"/>
      <c r="G62" s="1686"/>
      <c r="H62" s="1686"/>
      <c r="I62" s="1686"/>
      <c r="J62" s="1686"/>
      <c r="K62" s="1686"/>
      <c r="L62" s="1686"/>
      <c r="M62" s="1686"/>
      <c r="N62" s="1322"/>
      <c r="O62" s="1322"/>
      <c r="P62" s="1322"/>
      <c r="Q62" s="1322"/>
      <c r="R62" s="1322"/>
      <c r="S62" s="1322"/>
      <c r="T62" s="1322"/>
      <c r="U62" s="1322"/>
      <c r="V62" s="1322"/>
      <c r="W62" s="1322"/>
      <c r="X62" s="1322"/>
      <c r="Y62" s="1322"/>
    </row>
    <row r="63" spans="1:25" ht="15.75" customHeight="1">
      <c r="A63" s="317"/>
      <c r="B63" s="317"/>
      <c r="C63" s="317"/>
      <c r="D63" s="317"/>
      <c r="E63" s="317"/>
      <c r="F63" s="317"/>
      <c r="G63" s="317"/>
      <c r="H63" s="317"/>
      <c r="I63" s="317"/>
      <c r="J63" s="317"/>
      <c r="K63" s="317"/>
      <c r="L63" s="317"/>
      <c r="M63" s="317"/>
    </row>
    <row r="64" spans="1:25" ht="15.75" customHeight="1">
      <c r="A64" s="317"/>
      <c r="B64" s="317"/>
      <c r="C64" s="317"/>
      <c r="D64" s="317"/>
      <c r="E64" s="317"/>
      <c r="F64" s="317"/>
      <c r="G64" s="317"/>
      <c r="H64" s="317"/>
      <c r="I64" s="317"/>
      <c r="J64" s="317"/>
      <c r="K64" s="317"/>
      <c r="L64" s="317"/>
      <c r="M64" s="317"/>
    </row>
    <row r="65" ht="15.75" customHeight="1"/>
    <row r="66" ht="15.75" customHeight="1"/>
    <row r="67" ht="15.75" customHeight="1"/>
    <row r="68" ht="15.75" customHeight="1"/>
  </sheetData>
  <mergeCells count="23">
    <mergeCell ref="B60:M62"/>
    <mergeCell ref="B28:C28"/>
    <mergeCell ref="B29:C29"/>
    <mergeCell ref="B30:C30"/>
    <mergeCell ref="B31:C31"/>
    <mergeCell ref="B32:C32"/>
    <mergeCell ref="B33:C33"/>
    <mergeCell ref="B58:M58"/>
    <mergeCell ref="B24:C24"/>
    <mergeCell ref="B25:C25"/>
    <mergeCell ref="B26:C26"/>
    <mergeCell ref="B37:M37"/>
    <mergeCell ref="B27:C27"/>
    <mergeCell ref="J20:J21"/>
    <mergeCell ref="K20:K21"/>
    <mergeCell ref="L20:M21"/>
    <mergeCell ref="B22:C23"/>
    <mergeCell ref="A3:M3"/>
    <mergeCell ref="B5:M5"/>
    <mergeCell ref="B7:M9"/>
    <mergeCell ref="B10:K10"/>
    <mergeCell ref="B12:M14"/>
    <mergeCell ref="D22:D2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4F240-581D-474B-928A-56B5B5E4B6E9}">
  <dimension ref="A1:Z199"/>
  <sheetViews>
    <sheetView topLeftCell="A22" workbookViewId="0"/>
  </sheetViews>
  <sheetFormatPr defaultColWidth="9.109375" defaultRowHeight="15.6"/>
  <cols>
    <col min="1" max="1" width="10.33203125" style="1" customWidth="1"/>
    <col min="2" max="3" width="12.33203125" style="1" customWidth="1"/>
    <col min="4" max="4" width="13.5546875" style="1" customWidth="1"/>
    <col min="5" max="6" width="12.33203125" style="1" customWidth="1"/>
    <col min="7" max="7" width="9.109375" style="1" customWidth="1"/>
    <col min="8" max="8" width="10.5546875" style="1" customWidth="1"/>
    <col min="9" max="9" width="10.6640625" style="1" customWidth="1"/>
    <col min="10" max="10" width="13" style="1" customWidth="1"/>
    <col min="11" max="12" width="11.33203125" style="1" customWidth="1"/>
    <col min="13" max="13" width="10.88671875" style="1" customWidth="1"/>
    <col min="14" max="14" width="13.44140625" style="1" customWidth="1"/>
    <col min="15" max="18" width="8.88671875" style="1" customWidth="1"/>
    <col min="19" max="19" width="10.5546875" style="1" customWidth="1"/>
    <col min="20" max="20" width="10.6640625" style="1" customWidth="1"/>
    <col min="21" max="24" width="8.88671875" style="1" customWidth="1"/>
    <col min="25" max="16384" width="9.109375" style="1"/>
  </cols>
  <sheetData>
    <row r="1" spans="1:26" ht="15.75" customHeight="1">
      <c r="A1" s="168" t="s">
        <v>42</v>
      </c>
      <c r="B1" s="167"/>
      <c r="C1" s="5" t="s">
        <v>38</v>
      </c>
      <c r="D1" s="167"/>
      <c r="E1" s="167"/>
      <c r="F1" s="167"/>
      <c r="G1" s="167"/>
      <c r="H1" s="167"/>
      <c r="I1" s="167"/>
      <c r="J1" s="167"/>
      <c r="K1" s="169"/>
      <c r="L1" s="169"/>
      <c r="M1"/>
      <c r="N1"/>
      <c r="O1"/>
      <c r="P1"/>
      <c r="Q1"/>
      <c r="R1"/>
      <c r="S1"/>
      <c r="T1"/>
      <c r="U1"/>
      <c r="V1"/>
      <c r="W1"/>
      <c r="X1"/>
      <c r="Y1"/>
      <c r="Z1"/>
    </row>
    <row r="2" spans="1:26" ht="15.75" customHeight="1">
      <c r="A2" s="168"/>
      <c r="B2" s="167"/>
      <c r="C2" s="160" t="s">
        <v>193</v>
      </c>
      <c r="D2" s="166"/>
      <c r="E2" s="166"/>
      <c r="F2" s="166"/>
      <c r="G2" s="166"/>
      <c r="H2" s="166"/>
      <c r="I2" s="166"/>
      <c r="J2" s="166"/>
      <c r="K2" s="166"/>
      <c r="L2" s="165"/>
      <c r="M2"/>
      <c r="N2"/>
      <c r="O2"/>
      <c r="P2"/>
      <c r="Q2"/>
      <c r="R2"/>
      <c r="S2"/>
      <c r="T2"/>
      <c r="U2"/>
      <c r="V2"/>
      <c r="W2"/>
      <c r="X2"/>
      <c r="Y2"/>
      <c r="Z2"/>
    </row>
    <row r="3" spans="1:26" ht="15.75" customHeight="1">
      <c r="A3" s="21"/>
      <c r="B3" s="3"/>
      <c r="C3" s="3"/>
      <c r="D3" s="3"/>
      <c r="E3" s="3"/>
      <c r="F3" s="3"/>
      <c r="G3" s="3"/>
      <c r="H3" s="19"/>
      <c r="I3" s="19"/>
      <c r="J3" s="4"/>
      <c r="K3" s="4"/>
      <c r="L3" s="4"/>
      <c r="M3"/>
      <c r="N3"/>
      <c r="O3"/>
      <c r="P3"/>
      <c r="Q3"/>
      <c r="R3"/>
      <c r="S3"/>
      <c r="T3"/>
      <c r="U3"/>
      <c r="V3"/>
      <c r="W3"/>
      <c r="X3"/>
      <c r="Y3"/>
      <c r="Z3"/>
    </row>
    <row r="4" spans="1:26" ht="16.2">
      <c r="A4" s="21" t="s">
        <v>192</v>
      </c>
      <c r="B4" s="3"/>
      <c r="C4" s="3"/>
      <c r="D4" s="3"/>
      <c r="E4" s="3"/>
      <c r="F4" s="3"/>
      <c r="G4" s="3"/>
      <c r="H4" s="19"/>
      <c r="I4" s="19"/>
      <c r="J4" s="4"/>
      <c r="K4" s="4"/>
      <c r="L4" s="4"/>
      <c r="M4"/>
      <c r="N4"/>
      <c r="O4"/>
      <c r="P4"/>
      <c r="Q4"/>
      <c r="R4"/>
      <c r="S4"/>
      <c r="T4"/>
      <c r="U4"/>
      <c r="V4"/>
      <c r="W4"/>
      <c r="X4"/>
      <c r="Y4"/>
      <c r="Z4"/>
    </row>
    <row r="5" spans="1:26">
      <c r="A5" s="3" t="s">
        <v>191</v>
      </c>
      <c r="B5" s="3"/>
      <c r="C5" s="3"/>
      <c r="D5" s="3"/>
      <c r="E5" s="3"/>
      <c r="F5" s="3"/>
      <c r="G5" s="44"/>
      <c r="H5" s="44"/>
      <c r="I5" s="44"/>
      <c r="J5" s="44"/>
      <c r="K5" s="44"/>
      <c r="L5" s="44"/>
      <c r="M5"/>
      <c r="N5"/>
      <c r="O5"/>
      <c r="P5"/>
      <c r="Q5"/>
      <c r="R5"/>
      <c r="S5"/>
      <c r="T5"/>
      <c r="U5"/>
      <c r="V5"/>
      <c r="W5"/>
      <c r="X5"/>
      <c r="Y5"/>
      <c r="Z5"/>
    </row>
    <row r="6" spans="1:26" ht="16.2">
      <c r="A6" s="5"/>
      <c r="B6" s="3"/>
      <c r="C6" s="3"/>
      <c r="D6" s="3"/>
      <c r="E6" s="3"/>
      <c r="F6" s="3"/>
      <c r="G6" s="44"/>
      <c r="H6" s="44"/>
      <c r="I6" s="44"/>
      <c r="J6" s="44"/>
      <c r="K6" s="44"/>
      <c r="L6" s="44"/>
      <c r="M6"/>
      <c r="N6"/>
      <c r="O6"/>
      <c r="P6"/>
      <c r="Q6"/>
      <c r="R6"/>
      <c r="S6"/>
      <c r="T6"/>
      <c r="U6"/>
      <c r="V6"/>
      <c r="W6"/>
      <c r="X6"/>
      <c r="Y6"/>
      <c r="Z6"/>
    </row>
    <row r="7" spans="1:26" ht="37.5" customHeight="1">
      <c r="A7" s="83" t="s">
        <v>31</v>
      </c>
      <c r="B7" s="83" t="s">
        <v>29</v>
      </c>
      <c r="C7" s="83" t="s">
        <v>116</v>
      </c>
      <c r="D7" s="84" t="s">
        <v>27</v>
      </c>
      <c r="E7" s="83" t="s">
        <v>26</v>
      </c>
      <c r="F7" s="83" t="s">
        <v>25</v>
      </c>
      <c r="G7" s="44"/>
      <c r="H7" s="44"/>
      <c r="I7" s="44"/>
      <c r="J7" s="44"/>
      <c r="K7" s="44"/>
      <c r="L7" s="44"/>
      <c r="M7"/>
      <c r="N7"/>
      <c r="O7"/>
      <c r="P7"/>
      <c r="Q7"/>
      <c r="R7"/>
      <c r="S7"/>
      <c r="T7"/>
      <c r="U7"/>
      <c r="V7"/>
      <c r="W7"/>
      <c r="X7"/>
      <c r="Y7"/>
      <c r="Z7"/>
    </row>
    <row r="8" spans="1:26">
      <c r="A8" s="11">
        <v>2018</v>
      </c>
      <c r="B8" s="11">
        <v>0</v>
      </c>
      <c r="C8" s="11">
        <v>12</v>
      </c>
      <c r="D8" s="12">
        <v>2500</v>
      </c>
      <c r="E8" s="11">
        <v>45</v>
      </c>
      <c r="F8" s="10">
        <v>5000</v>
      </c>
      <c r="G8" s="44"/>
      <c r="H8" s="44"/>
      <c r="I8" s="44"/>
      <c r="J8" s="44"/>
      <c r="K8" s="44"/>
      <c r="L8" s="44"/>
      <c r="M8"/>
      <c r="N8"/>
      <c r="O8"/>
      <c r="P8"/>
      <c r="Q8"/>
      <c r="R8"/>
      <c r="S8"/>
      <c r="T8"/>
      <c r="U8"/>
      <c r="V8"/>
      <c r="W8"/>
      <c r="X8"/>
      <c r="Y8"/>
      <c r="Z8"/>
    </row>
    <row r="9" spans="1:26" ht="15.75" customHeight="1">
      <c r="A9" s="11">
        <v>2018</v>
      </c>
      <c r="B9" s="11">
        <v>12</v>
      </c>
      <c r="C9" s="11">
        <v>24</v>
      </c>
      <c r="D9" s="12">
        <v>1800</v>
      </c>
      <c r="E9" s="11">
        <v>45</v>
      </c>
      <c r="F9" s="10">
        <v>5000</v>
      </c>
      <c r="G9" s="44"/>
      <c r="H9" s="44"/>
      <c r="I9" s="44"/>
      <c r="J9" s="44"/>
      <c r="K9" s="44"/>
      <c r="L9" s="44"/>
      <c r="M9"/>
      <c r="N9"/>
      <c r="O9"/>
      <c r="P9"/>
      <c r="Q9"/>
      <c r="R9"/>
      <c r="S9"/>
      <c r="T9"/>
      <c r="U9"/>
      <c r="V9"/>
      <c r="W9"/>
      <c r="X9"/>
      <c r="Y9"/>
      <c r="Z9"/>
    </row>
    <row r="10" spans="1:26">
      <c r="A10" s="11">
        <v>2018</v>
      </c>
      <c r="B10" s="11">
        <v>24</v>
      </c>
      <c r="C10" s="11">
        <v>36</v>
      </c>
      <c r="D10" s="12">
        <v>500</v>
      </c>
      <c r="E10" s="11">
        <v>45</v>
      </c>
      <c r="F10" s="10">
        <v>5000</v>
      </c>
      <c r="G10" s="44"/>
      <c r="H10" s="44"/>
      <c r="I10" s="44"/>
      <c r="J10" s="44"/>
      <c r="K10" s="44"/>
      <c r="L10" s="44"/>
      <c r="M10"/>
      <c r="N10"/>
      <c r="O10"/>
      <c r="P10"/>
      <c r="Q10"/>
      <c r="R10"/>
      <c r="S10"/>
      <c r="T10"/>
      <c r="U10"/>
      <c r="V10"/>
      <c r="W10"/>
      <c r="X10"/>
      <c r="Y10"/>
      <c r="Z10"/>
    </row>
    <row r="11" spans="1:26">
      <c r="A11" s="11">
        <v>2018</v>
      </c>
      <c r="B11" s="11">
        <v>36</v>
      </c>
      <c r="C11" s="11">
        <v>45</v>
      </c>
      <c r="D11" s="12">
        <v>200</v>
      </c>
      <c r="E11" s="11">
        <v>45</v>
      </c>
      <c r="F11" s="10">
        <v>5000</v>
      </c>
      <c r="G11" s="44"/>
      <c r="H11" s="44"/>
      <c r="I11" s="44"/>
      <c r="J11" s="44"/>
      <c r="K11" s="44"/>
      <c r="L11" s="44"/>
      <c r="M11"/>
      <c r="N11"/>
      <c r="O11"/>
      <c r="P11"/>
      <c r="Q11"/>
      <c r="R11"/>
      <c r="S11"/>
      <c r="T11"/>
      <c r="U11"/>
      <c r="V11"/>
      <c r="W11"/>
      <c r="X11"/>
      <c r="Y11"/>
      <c r="Z11"/>
    </row>
    <row r="12" spans="1:26">
      <c r="A12" s="11">
        <v>2019</v>
      </c>
      <c r="B12" s="11">
        <v>0</v>
      </c>
      <c r="C12" s="11">
        <v>12</v>
      </c>
      <c r="D12" s="12">
        <v>4100</v>
      </c>
      <c r="E12" s="11">
        <v>33</v>
      </c>
      <c r="F12" s="10">
        <v>7000</v>
      </c>
      <c r="G12" s="44"/>
      <c r="H12" s="44"/>
      <c r="I12" s="44"/>
      <c r="J12" s="44"/>
      <c r="K12" s="44"/>
      <c r="L12" s="44"/>
      <c r="M12"/>
      <c r="N12"/>
      <c r="O12"/>
      <c r="P12"/>
      <c r="Q12"/>
      <c r="R12"/>
      <c r="S12"/>
      <c r="T12"/>
      <c r="U12"/>
      <c r="V12"/>
      <c r="W12"/>
      <c r="X12"/>
      <c r="Y12"/>
      <c r="Z12"/>
    </row>
    <row r="13" spans="1:26" ht="15.75" customHeight="1">
      <c r="A13" s="11">
        <v>2019</v>
      </c>
      <c r="B13" s="11">
        <v>12</v>
      </c>
      <c r="C13" s="11">
        <v>24</v>
      </c>
      <c r="D13" s="12">
        <v>2000</v>
      </c>
      <c r="E13" s="11">
        <v>33</v>
      </c>
      <c r="F13" s="10">
        <v>7000</v>
      </c>
      <c r="G13" s="44"/>
      <c r="H13" s="44"/>
      <c r="I13" s="44"/>
      <c r="J13" s="44"/>
      <c r="K13" s="44"/>
      <c r="L13" s="44"/>
      <c r="M13"/>
      <c r="N13"/>
      <c r="O13"/>
      <c r="P13"/>
      <c r="Q13"/>
      <c r="R13"/>
      <c r="S13"/>
      <c r="T13"/>
      <c r="U13"/>
      <c r="V13"/>
      <c r="W13"/>
      <c r="X13"/>
      <c r="Y13"/>
      <c r="Z13"/>
    </row>
    <row r="14" spans="1:26">
      <c r="A14" s="11">
        <v>2019</v>
      </c>
      <c r="B14" s="11">
        <v>24</v>
      </c>
      <c r="C14" s="11">
        <v>33</v>
      </c>
      <c r="D14" s="12">
        <v>900</v>
      </c>
      <c r="E14" s="11">
        <v>33</v>
      </c>
      <c r="F14" s="10">
        <v>7000</v>
      </c>
      <c r="G14" s="44"/>
      <c r="H14" s="44"/>
      <c r="I14" s="44"/>
      <c r="J14" s="44"/>
      <c r="K14" s="44"/>
      <c r="L14" s="44"/>
      <c r="M14"/>
      <c r="N14"/>
      <c r="O14"/>
      <c r="P14"/>
      <c r="Q14"/>
      <c r="R14"/>
      <c r="S14"/>
      <c r="T14"/>
      <c r="U14"/>
      <c r="V14"/>
      <c r="W14"/>
      <c r="X14"/>
      <c r="Y14"/>
      <c r="Z14"/>
    </row>
    <row r="15" spans="1:26">
      <c r="A15" s="11">
        <v>2020</v>
      </c>
      <c r="B15" s="11">
        <v>0</v>
      </c>
      <c r="C15" s="11">
        <v>12</v>
      </c>
      <c r="D15" s="12">
        <v>4600</v>
      </c>
      <c r="E15" s="11">
        <v>21</v>
      </c>
      <c r="F15" s="10">
        <v>6800</v>
      </c>
      <c r="G15" s="44"/>
      <c r="H15" s="44"/>
      <c r="I15" s="44"/>
      <c r="J15" s="44"/>
      <c r="K15" s="44"/>
      <c r="L15" s="44"/>
      <c r="M15"/>
      <c r="N15"/>
      <c r="O15"/>
      <c r="P15"/>
      <c r="Q15"/>
      <c r="R15"/>
      <c r="S15"/>
      <c r="T15"/>
      <c r="U15"/>
      <c r="V15"/>
      <c r="W15"/>
      <c r="X15"/>
      <c r="Y15"/>
      <c r="Z15"/>
    </row>
    <row r="16" spans="1:26">
      <c r="A16" s="11">
        <v>2020</v>
      </c>
      <c r="B16" s="11">
        <v>12</v>
      </c>
      <c r="C16" s="11">
        <v>21</v>
      </c>
      <c r="D16" s="12">
        <v>2200</v>
      </c>
      <c r="E16" s="11">
        <v>21</v>
      </c>
      <c r="F16" s="10">
        <v>6800</v>
      </c>
      <c r="G16" s="44"/>
      <c r="H16" s="44"/>
      <c r="I16" s="44"/>
      <c r="J16" s="44"/>
      <c r="K16" s="44"/>
      <c r="L16" s="44"/>
      <c r="M16"/>
      <c r="N16"/>
      <c r="O16"/>
      <c r="P16"/>
      <c r="Q16"/>
      <c r="R16"/>
      <c r="S16"/>
      <c r="T16"/>
      <c r="U16"/>
      <c r="V16"/>
      <c r="W16"/>
      <c r="X16"/>
      <c r="Y16"/>
      <c r="Z16"/>
    </row>
    <row r="17" spans="1:26">
      <c r="A17" s="11">
        <v>2021</v>
      </c>
      <c r="B17" s="11">
        <v>0</v>
      </c>
      <c r="C17" s="11">
        <v>9</v>
      </c>
      <c r="D17" s="12">
        <v>5300</v>
      </c>
      <c r="E17" s="11">
        <v>9</v>
      </c>
      <c r="F17" s="10">
        <v>5300</v>
      </c>
      <c r="G17" s="44"/>
      <c r="H17" s="44"/>
      <c r="I17" s="44"/>
      <c r="J17" s="44"/>
      <c r="K17" s="44"/>
      <c r="L17" s="44"/>
      <c r="M17"/>
      <c r="N17"/>
      <c r="O17"/>
      <c r="P17"/>
      <c r="Q17"/>
      <c r="R17"/>
      <c r="S17"/>
      <c r="T17"/>
      <c r="U17"/>
      <c r="V17"/>
      <c r="W17"/>
      <c r="X17"/>
      <c r="Y17"/>
      <c r="Z17"/>
    </row>
    <row r="18" spans="1:26">
      <c r="A18" s="3"/>
      <c r="B18" s="3"/>
      <c r="C18" s="3"/>
      <c r="D18" s="3"/>
      <c r="E18" s="3"/>
      <c r="F18" s="3"/>
      <c r="G18" s="44"/>
      <c r="H18" s="44"/>
      <c r="I18" s="44"/>
      <c r="J18" s="44"/>
      <c r="K18" s="44"/>
      <c r="L18" s="44"/>
      <c r="M18"/>
      <c r="N18"/>
      <c r="O18"/>
      <c r="P18"/>
      <c r="Q18"/>
      <c r="R18"/>
      <c r="S18"/>
      <c r="T18"/>
      <c r="U18"/>
      <c r="V18"/>
      <c r="W18"/>
      <c r="X18"/>
      <c r="Y18"/>
      <c r="Z18"/>
    </row>
    <row r="19" spans="1:26">
      <c r="A19" s="3" t="s">
        <v>190</v>
      </c>
      <c r="B19" s="3"/>
      <c r="C19" s="3"/>
      <c r="D19" s="3"/>
      <c r="E19" s="3"/>
      <c r="F19" s="3"/>
      <c r="G19" s="3"/>
      <c r="H19" s="3"/>
      <c r="I19" s="2"/>
      <c r="J19" s="2"/>
      <c r="K19" s="2"/>
      <c r="L19" s="2"/>
      <c r="M19"/>
      <c r="N19"/>
      <c r="O19"/>
      <c r="P19"/>
      <c r="Q19"/>
      <c r="R19"/>
      <c r="S19"/>
      <c r="T19"/>
      <c r="U19"/>
      <c r="V19"/>
      <c r="W19"/>
      <c r="X19"/>
      <c r="Y19"/>
      <c r="Z19"/>
    </row>
    <row r="20" spans="1:26" ht="31.2">
      <c r="A20" s="2"/>
      <c r="B20" s="133" t="s">
        <v>31</v>
      </c>
      <c r="C20" s="133" t="s">
        <v>30</v>
      </c>
      <c r="D20" s="3"/>
      <c r="E20" s="3"/>
      <c r="F20" s="3"/>
      <c r="G20" s="3"/>
      <c r="H20" s="3"/>
      <c r="I20" s="2"/>
      <c r="J20" s="2"/>
      <c r="K20" s="2"/>
      <c r="L20" s="2"/>
      <c r="M20"/>
      <c r="N20"/>
      <c r="O20"/>
      <c r="P20"/>
      <c r="Q20"/>
      <c r="R20"/>
      <c r="S20"/>
      <c r="T20"/>
      <c r="U20"/>
      <c r="V20"/>
      <c r="W20"/>
      <c r="X20"/>
      <c r="Y20"/>
      <c r="Z20"/>
    </row>
    <row r="21" spans="1:26">
      <c r="A21" s="2"/>
      <c r="B21" s="11">
        <v>2018</v>
      </c>
      <c r="C21" s="10">
        <v>10000</v>
      </c>
      <c r="D21" s="3"/>
      <c r="E21" s="3"/>
      <c r="F21" s="3"/>
      <c r="G21" s="3"/>
      <c r="H21" s="3"/>
      <c r="I21" s="2"/>
      <c r="J21" s="2"/>
      <c r="K21" s="2"/>
      <c r="L21" s="2"/>
      <c r="M21"/>
      <c r="N21"/>
      <c r="O21"/>
      <c r="P21"/>
      <c r="Q21"/>
      <c r="R21"/>
      <c r="S21"/>
      <c r="T21"/>
      <c r="U21"/>
      <c r="V21"/>
      <c r="W21"/>
      <c r="X21"/>
      <c r="Y21"/>
      <c r="Z21"/>
    </row>
    <row r="22" spans="1:26">
      <c r="A22" s="2"/>
      <c r="B22" s="11">
        <v>2019</v>
      </c>
      <c r="C22" s="10">
        <v>12000</v>
      </c>
      <c r="D22" s="3"/>
      <c r="E22" s="3"/>
      <c r="F22" s="3"/>
      <c r="G22" s="3"/>
      <c r="H22" s="3"/>
      <c r="I22" s="2"/>
      <c r="J22" s="2"/>
      <c r="K22" s="2"/>
      <c r="L22" s="2"/>
      <c r="M22"/>
      <c r="N22"/>
      <c r="O22"/>
      <c r="P22"/>
      <c r="Q22"/>
      <c r="R22"/>
      <c r="S22"/>
      <c r="T22"/>
      <c r="U22"/>
      <c r="V22"/>
      <c r="W22"/>
      <c r="X22"/>
      <c r="Y22"/>
      <c r="Z22"/>
    </row>
    <row r="23" spans="1:26">
      <c r="A23" s="2"/>
      <c r="B23" s="164">
        <v>2020</v>
      </c>
      <c r="C23" s="10">
        <v>15000</v>
      </c>
      <c r="D23" s="3"/>
      <c r="E23" s="2"/>
      <c r="F23" s="2"/>
      <c r="G23" s="2"/>
      <c r="H23" s="2"/>
      <c r="I23" s="2"/>
      <c r="J23" s="2"/>
      <c r="K23" s="2"/>
      <c r="L23" s="2"/>
      <c r="M23"/>
      <c r="N23"/>
      <c r="O23"/>
      <c r="P23"/>
      <c r="Q23"/>
      <c r="R23"/>
      <c r="S23"/>
      <c r="T23"/>
      <c r="U23"/>
      <c r="V23"/>
      <c r="W23"/>
      <c r="X23"/>
      <c r="Y23"/>
      <c r="Z23"/>
    </row>
    <row r="24" spans="1:26">
      <c r="A24" s="2"/>
      <c r="B24" s="11">
        <v>2021</v>
      </c>
      <c r="C24" s="10">
        <v>18000</v>
      </c>
      <c r="D24" s="2"/>
      <c r="E24" s="2"/>
      <c r="F24" s="2"/>
      <c r="G24" s="2"/>
      <c r="H24" s="2"/>
      <c r="I24" s="2"/>
      <c r="J24" s="2"/>
      <c r="K24" s="2"/>
      <c r="L24" s="2"/>
      <c r="M24"/>
      <c r="N24"/>
      <c r="O24"/>
      <c r="P24"/>
      <c r="Q24"/>
      <c r="R24"/>
      <c r="S24"/>
      <c r="T24"/>
      <c r="U24"/>
      <c r="V24"/>
      <c r="W24"/>
      <c r="X24"/>
      <c r="Y24"/>
      <c r="Z24"/>
    </row>
    <row r="25" spans="1:26">
      <c r="A25" s="163"/>
      <c r="B25" s="74"/>
      <c r="C25" s="2"/>
      <c r="D25" s="2"/>
      <c r="E25" s="2"/>
      <c r="F25" s="2"/>
      <c r="G25" s="2"/>
      <c r="H25" s="2"/>
      <c r="I25" s="2"/>
      <c r="J25" s="2"/>
      <c r="K25" s="2"/>
      <c r="L25" s="2"/>
      <c r="M25"/>
      <c r="N25"/>
      <c r="O25"/>
      <c r="P25"/>
      <c r="Q25"/>
      <c r="R25"/>
      <c r="S25"/>
      <c r="T25"/>
      <c r="U25"/>
      <c r="V25"/>
      <c r="W25"/>
      <c r="X25"/>
      <c r="Y25"/>
      <c r="Z25"/>
    </row>
    <row r="26" spans="1:26">
      <c r="A26" s="162" t="s">
        <v>189</v>
      </c>
      <c r="B26" s="74"/>
      <c r="C26" s="2"/>
      <c r="D26" s="2"/>
      <c r="E26" s="2"/>
      <c r="F26" s="2"/>
      <c r="G26" s="2"/>
      <c r="H26" s="2"/>
      <c r="I26" s="2"/>
      <c r="J26" s="2"/>
      <c r="K26" s="2"/>
      <c r="L26" s="2"/>
      <c r="M26"/>
      <c r="N26"/>
      <c r="O26"/>
      <c r="P26"/>
      <c r="Q26"/>
      <c r="R26"/>
      <c r="S26"/>
      <c r="T26"/>
      <c r="U26"/>
      <c r="V26"/>
      <c r="W26"/>
      <c r="X26"/>
      <c r="Y26"/>
      <c r="Z26"/>
    </row>
    <row r="27" spans="1:26" ht="17.399999999999999">
      <c r="A27" s="162" t="s">
        <v>188</v>
      </c>
      <c r="B27" s="74"/>
      <c r="C27" s="2"/>
      <c r="D27" s="2"/>
      <c r="E27" s="2"/>
      <c r="F27" s="2"/>
      <c r="G27" s="2"/>
      <c r="H27" s="2"/>
      <c r="I27" s="2"/>
      <c r="J27" s="2"/>
      <c r="K27" s="2"/>
      <c r="L27" s="2"/>
      <c r="M27"/>
      <c r="N27"/>
      <c r="O27"/>
      <c r="P27"/>
      <c r="Q27"/>
      <c r="R27"/>
      <c r="S27"/>
      <c r="T27"/>
      <c r="U27"/>
      <c r="V27"/>
      <c r="W27"/>
      <c r="X27"/>
      <c r="Y27"/>
      <c r="Z27"/>
    </row>
    <row r="28" spans="1:26">
      <c r="A28" s="3"/>
      <c r="B28" s="161"/>
      <c r="C28" s="2"/>
      <c r="D28" s="2"/>
      <c r="E28" s="2"/>
      <c r="F28" s="2"/>
      <c r="G28" s="2"/>
      <c r="H28" s="2"/>
      <c r="I28" s="2"/>
      <c r="J28" s="2"/>
      <c r="K28" s="2"/>
      <c r="L28" s="2"/>
      <c r="M28"/>
      <c r="N28"/>
      <c r="O28"/>
      <c r="P28"/>
      <c r="Q28"/>
      <c r="R28"/>
      <c r="S28"/>
      <c r="T28"/>
      <c r="U28"/>
      <c r="V28"/>
      <c r="W28"/>
      <c r="X28"/>
      <c r="Y28"/>
      <c r="Z28"/>
    </row>
    <row r="29" spans="1:26">
      <c r="A29" s="3" t="s">
        <v>80</v>
      </c>
      <c r="B29" s="3" t="s">
        <v>187</v>
      </c>
      <c r="C29" s="3"/>
      <c r="D29" s="3"/>
      <c r="E29" s="3"/>
      <c r="F29" s="3"/>
      <c r="G29" s="3"/>
      <c r="H29" s="3"/>
      <c r="I29" s="2"/>
      <c r="J29" s="2"/>
      <c r="K29" s="2"/>
      <c r="L29" s="2"/>
      <c r="M29"/>
      <c r="N29"/>
      <c r="O29"/>
      <c r="P29"/>
      <c r="Q29"/>
      <c r="R29"/>
      <c r="S29"/>
      <c r="T29"/>
      <c r="U29"/>
      <c r="V29"/>
      <c r="W29"/>
      <c r="X29"/>
      <c r="Y29"/>
      <c r="Z29"/>
    </row>
    <row r="30" spans="1:26" ht="16.2">
      <c r="A30" s="3"/>
      <c r="B30" s="160" t="s">
        <v>185</v>
      </c>
      <c r="C30" s="159"/>
      <c r="D30" s="159"/>
      <c r="E30" s="159"/>
      <c r="F30" s="158"/>
      <c r="G30" s="158"/>
      <c r="H30" s="158"/>
      <c r="I30" s="158"/>
      <c r="J30" s="158"/>
      <c r="K30" s="158"/>
      <c r="L30" s="3"/>
      <c r="M30"/>
      <c r="N30"/>
      <c r="O30"/>
      <c r="P30"/>
      <c r="Q30"/>
      <c r="R30"/>
      <c r="S30"/>
      <c r="T30"/>
      <c r="U30"/>
      <c r="V30"/>
      <c r="W30"/>
      <c r="X30"/>
      <c r="Y30"/>
      <c r="Z30"/>
    </row>
    <row r="31" spans="1:26">
      <c r="A31" s="44"/>
      <c r="B31" s="44"/>
      <c r="C31" s="44"/>
      <c r="D31" s="44"/>
      <c r="E31" s="44"/>
      <c r="F31" s="44"/>
      <c r="G31" s="44"/>
      <c r="H31" s="44"/>
      <c r="I31" s="44"/>
      <c r="J31" s="44"/>
      <c r="K31" s="44"/>
      <c r="L31" s="44"/>
      <c r="M31"/>
      <c r="N31"/>
      <c r="O31"/>
      <c r="P31"/>
      <c r="Q31"/>
      <c r="R31"/>
      <c r="S31"/>
      <c r="T31"/>
      <c r="U31"/>
      <c r="V31"/>
      <c r="W31"/>
      <c r="X31"/>
      <c r="Y31"/>
      <c r="Z31"/>
    </row>
    <row r="32" spans="1:26">
      <c r="A32" s="3" t="s">
        <v>9</v>
      </c>
      <c r="B32" s="3" t="s">
        <v>186</v>
      </c>
      <c r="C32" s="3"/>
      <c r="D32" s="3"/>
      <c r="E32" s="3"/>
      <c r="F32" s="3"/>
      <c r="G32" s="3"/>
      <c r="H32" s="3"/>
      <c r="I32" s="2"/>
      <c r="J32" s="2"/>
      <c r="K32" s="2"/>
      <c r="L32" s="2"/>
      <c r="M32"/>
      <c r="N32"/>
      <c r="O32"/>
      <c r="P32"/>
      <c r="Q32"/>
      <c r="R32"/>
      <c r="S32"/>
      <c r="T32"/>
      <c r="U32"/>
      <c r="V32"/>
      <c r="W32"/>
      <c r="X32"/>
      <c r="Y32"/>
      <c r="Z32"/>
    </row>
    <row r="33" spans="1:26" ht="16.2">
      <c r="A33" s="3"/>
      <c r="B33" s="160" t="s">
        <v>185</v>
      </c>
      <c r="C33" s="159"/>
      <c r="D33" s="159"/>
      <c r="E33" s="159"/>
      <c r="F33" s="158"/>
      <c r="G33" s="158"/>
      <c r="H33" s="158"/>
      <c r="I33" s="158"/>
      <c r="J33" s="158"/>
      <c r="K33" s="158"/>
      <c r="L33" s="2"/>
      <c r="M33"/>
      <c r="N33"/>
      <c r="O33"/>
      <c r="P33"/>
      <c r="Q33"/>
      <c r="R33"/>
      <c r="S33"/>
      <c r="T33"/>
      <c r="U33"/>
      <c r="V33"/>
      <c r="W33"/>
      <c r="X33"/>
      <c r="Y33"/>
      <c r="Z33"/>
    </row>
    <row r="34" spans="1:26" ht="16.2">
      <c r="A34" s="3"/>
      <c r="B34" s="5"/>
      <c r="C34" s="3"/>
      <c r="D34" s="3"/>
      <c r="E34" s="3"/>
      <c r="F34" s="156"/>
      <c r="G34" s="156"/>
      <c r="H34" s="156"/>
      <c r="I34" s="156"/>
      <c r="J34" s="156"/>
      <c r="K34" s="156"/>
      <c r="L34" s="2"/>
      <c r="M34"/>
      <c r="N34"/>
      <c r="O34"/>
      <c r="P34"/>
      <c r="Q34"/>
      <c r="R34"/>
      <c r="S34"/>
      <c r="T34"/>
      <c r="U34"/>
      <c r="V34"/>
      <c r="W34"/>
      <c r="X34"/>
      <c r="Y34"/>
      <c r="Z34"/>
    </row>
    <row r="35" spans="1:26" ht="18">
      <c r="A35" s="3" t="s">
        <v>184</v>
      </c>
      <c r="B35" s="5"/>
      <c r="C35" s="3"/>
      <c r="D35" s="3"/>
      <c r="E35" s="3"/>
      <c r="F35" s="156"/>
      <c r="G35" s="156"/>
      <c r="H35" s="156"/>
      <c r="I35" s="156"/>
      <c r="J35" s="156"/>
      <c r="K35" s="156"/>
      <c r="L35" s="2"/>
      <c r="M35"/>
      <c r="N35"/>
      <c r="O35"/>
      <c r="P35"/>
      <c r="Q35"/>
      <c r="R35"/>
      <c r="S35"/>
      <c r="T35"/>
      <c r="U35"/>
      <c r="V35"/>
      <c r="W35"/>
      <c r="X35"/>
      <c r="Y35"/>
      <c r="Z35"/>
    </row>
    <row r="36" spans="1:26" ht="16.2">
      <c r="A36" s="3" t="s">
        <v>183</v>
      </c>
      <c r="B36" s="5"/>
      <c r="C36" s="3"/>
      <c r="D36" s="3"/>
      <c r="E36" s="3"/>
      <c r="F36" s="156"/>
      <c r="G36" s="156"/>
      <c r="H36" s="156"/>
      <c r="I36" s="156"/>
      <c r="J36" s="156"/>
      <c r="K36" s="156"/>
      <c r="L36" s="2"/>
      <c r="M36"/>
      <c r="N36"/>
      <c r="O36"/>
      <c r="P36"/>
      <c r="Q36"/>
      <c r="R36"/>
      <c r="S36"/>
      <c r="T36"/>
      <c r="U36"/>
      <c r="V36"/>
      <c r="W36"/>
      <c r="X36"/>
      <c r="Y36"/>
      <c r="Z36"/>
    </row>
    <row r="37" spans="1:26" ht="16.2">
      <c r="A37" s="3"/>
      <c r="B37" s="157" t="s">
        <v>182</v>
      </c>
      <c r="C37" s="6">
        <v>0.71030000000000004</v>
      </c>
      <c r="D37" s="3"/>
      <c r="E37" s="3"/>
      <c r="F37" s="156"/>
      <c r="G37" s="156"/>
      <c r="H37" s="156"/>
      <c r="I37" s="156"/>
      <c r="J37" s="156"/>
      <c r="K37" s="156"/>
      <c r="L37" s="2"/>
      <c r="M37"/>
      <c r="N37"/>
      <c r="O37"/>
      <c r="P37"/>
      <c r="Q37"/>
      <c r="R37"/>
      <c r="S37"/>
      <c r="T37"/>
      <c r="U37"/>
      <c r="V37"/>
      <c r="W37"/>
      <c r="X37"/>
      <c r="Y37"/>
      <c r="Z37"/>
    </row>
    <row r="38" spans="1:26" ht="16.2">
      <c r="A38" s="3"/>
      <c r="B38" s="157" t="s">
        <v>12</v>
      </c>
      <c r="C38" s="6">
        <v>9.8230000000000004</v>
      </c>
      <c r="D38" s="3"/>
      <c r="E38" s="3"/>
      <c r="F38" s="156"/>
      <c r="G38" s="156"/>
      <c r="H38" s="156"/>
      <c r="I38" s="156"/>
      <c r="J38" s="156"/>
      <c r="K38" s="156"/>
      <c r="L38" s="2"/>
      <c r="M38"/>
      <c r="N38"/>
      <c r="O38"/>
      <c r="P38"/>
      <c r="Q38"/>
      <c r="R38"/>
      <c r="S38"/>
      <c r="T38"/>
      <c r="U38"/>
      <c r="V38"/>
      <c r="W38"/>
      <c r="X38"/>
      <c r="Y38"/>
      <c r="Z38"/>
    </row>
    <row r="39" spans="1:26">
      <c r="A39" s="3"/>
      <c r="B39" s="3"/>
      <c r="C39" s="2"/>
      <c r="D39" s="2"/>
      <c r="E39" s="2"/>
      <c r="F39" s="2"/>
      <c r="G39" s="2"/>
      <c r="H39" s="2"/>
      <c r="I39" s="2"/>
      <c r="J39" s="2"/>
      <c r="K39" s="2"/>
      <c r="L39" s="2"/>
      <c r="M39"/>
      <c r="N39"/>
      <c r="O39"/>
      <c r="P39"/>
      <c r="Q39"/>
      <c r="R39"/>
      <c r="S39"/>
      <c r="T39"/>
      <c r="U39"/>
      <c r="V39"/>
      <c r="W39"/>
      <c r="X39"/>
      <c r="Y39"/>
      <c r="Z39"/>
    </row>
    <row r="40" spans="1:26" ht="16.2">
      <c r="A40" s="3" t="s">
        <v>7</v>
      </c>
      <c r="B40" s="3" t="s">
        <v>181</v>
      </c>
      <c r="C40" s="5"/>
      <c r="D40" s="3"/>
      <c r="E40" s="3"/>
      <c r="F40" s="3"/>
      <c r="G40" s="3"/>
      <c r="H40" s="3"/>
      <c r="I40" s="2"/>
      <c r="J40" s="2"/>
      <c r="K40" s="2"/>
      <c r="L40" s="2"/>
      <c r="M40"/>
      <c r="N40"/>
      <c r="O40"/>
      <c r="P40"/>
      <c r="Q40"/>
      <c r="R40"/>
      <c r="S40"/>
      <c r="T40"/>
      <c r="U40"/>
      <c r="V40"/>
      <c r="W40"/>
      <c r="X40"/>
      <c r="Y40"/>
      <c r="Z40"/>
    </row>
    <row r="41" spans="1:26" ht="16.2">
      <c r="A41" s="5"/>
      <c r="B41" s="5" t="s">
        <v>64</v>
      </c>
      <c r="C41" s="4"/>
      <c r="D41" s="4"/>
      <c r="E41" s="4"/>
      <c r="F41" s="4"/>
      <c r="G41" s="4"/>
      <c r="H41" s="3"/>
      <c r="I41" s="3"/>
      <c r="J41" s="2"/>
      <c r="K41" s="2"/>
      <c r="L41" s="2"/>
      <c r="M41"/>
      <c r="N41"/>
      <c r="O41"/>
      <c r="P41"/>
      <c r="Q41"/>
      <c r="R41"/>
      <c r="S41"/>
      <c r="T41"/>
      <c r="U41"/>
      <c r="V41"/>
      <c r="W41"/>
      <c r="X41"/>
      <c r="Y41"/>
      <c r="Z41"/>
    </row>
    <row r="42" spans="1:26" s="145" customFormat="1" ht="16.2" thickBot="1">
      <c r="A42" s="155"/>
      <c r="B42" s="155"/>
      <c r="C42" s="152"/>
      <c r="D42" s="152"/>
      <c r="E42" s="152"/>
      <c r="F42" s="152"/>
      <c r="G42" s="152"/>
      <c r="M42" s="87"/>
      <c r="N42" s="87"/>
      <c r="O42" s="87"/>
      <c r="P42" s="87"/>
      <c r="Q42" s="87"/>
      <c r="R42" s="87"/>
      <c r="S42" s="87"/>
      <c r="T42" s="87"/>
      <c r="U42" s="87"/>
      <c r="V42" s="87"/>
      <c r="W42" s="87"/>
      <c r="X42" s="87"/>
      <c r="Y42" s="87"/>
      <c r="Z42" s="87"/>
    </row>
    <row r="43" spans="1:26" s="145" customFormat="1" ht="16.2" thickBot="1">
      <c r="A43" s="155"/>
      <c r="B43" s="154" t="s">
        <v>10</v>
      </c>
      <c r="C43" s="153">
        <f>SUM(E46:E55)/SUM(L46:L55)</f>
        <v>0.62212675696260766</v>
      </c>
      <c r="D43" s="152"/>
      <c r="E43" s="152"/>
      <c r="F43" s="152"/>
      <c r="G43" s="152"/>
      <c r="M43" s="87"/>
      <c r="N43" s="87"/>
      <c r="O43" s="87"/>
      <c r="P43" s="87"/>
      <c r="Q43" s="87"/>
      <c r="R43" s="87"/>
      <c r="S43" s="87"/>
      <c r="T43" s="87"/>
      <c r="U43" s="87"/>
      <c r="V43" s="87"/>
      <c r="W43" s="87"/>
      <c r="X43" s="87"/>
      <c r="Y43" s="87"/>
      <c r="Z43" s="87"/>
    </row>
    <row r="44" spans="1:26" s="145" customFormat="1" ht="19.95" customHeight="1">
      <c r="M44" s="151" t="s">
        <v>180</v>
      </c>
      <c r="N44" s="151" t="s">
        <v>180</v>
      </c>
      <c r="P44" s="87"/>
      <c r="Q44" s="87"/>
      <c r="R44" s="87"/>
      <c r="S44" s="87"/>
      <c r="T44" s="87"/>
      <c r="U44" s="87"/>
      <c r="V44" s="87"/>
      <c r="W44" s="87"/>
      <c r="X44" s="87"/>
      <c r="Y44" s="87"/>
      <c r="Z44" s="87"/>
    </row>
    <row r="45" spans="1:26" s="139" customFormat="1" ht="63.6">
      <c r="A45" s="144" t="s">
        <v>179</v>
      </c>
      <c r="B45" s="144" t="s">
        <v>178</v>
      </c>
      <c r="C45" s="144" t="s">
        <v>29</v>
      </c>
      <c r="D45" s="144" t="s">
        <v>116</v>
      </c>
      <c r="E45" s="150" t="s">
        <v>27</v>
      </c>
      <c r="F45" s="144" t="s">
        <v>177</v>
      </c>
      <c r="G45" s="144" t="s">
        <v>100</v>
      </c>
      <c r="H45" s="144" t="s">
        <v>176</v>
      </c>
      <c r="I45" s="144" t="s">
        <v>175</v>
      </c>
      <c r="J45" s="144" t="s">
        <v>20</v>
      </c>
      <c r="K45" s="144" t="s">
        <v>85</v>
      </c>
      <c r="L45" s="144" t="s">
        <v>174</v>
      </c>
      <c r="M45" s="144" t="s">
        <v>173</v>
      </c>
      <c r="N45" s="149" t="s">
        <v>172</v>
      </c>
      <c r="Q45"/>
      <c r="R45"/>
      <c r="S45"/>
      <c r="T45"/>
      <c r="U45"/>
      <c r="V45"/>
      <c r="W45"/>
      <c r="X45"/>
      <c r="Y45"/>
      <c r="Z45"/>
    </row>
    <row r="46" spans="1:26" s="139" customFormat="1" ht="19.95" customHeight="1">
      <c r="A46" s="145">
        <f t="shared" ref="A46:A55" si="0">A8</f>
        <v>2018</v>
      </c>
      <c r="B46" s="148">
        <f t="shared" ref="B46:B55" si="1">VLOOKUP($A46,$B$21:$C$24,2)</f>
        <v>10000</v>
      </c>
      <c r="C46" s="145">
        <f t="shared" ref="C46:G55" si="2">B8</f>
        <v>0</v>
      </c>
      <c r="D46" s="145">
        <f t="shared" si="2"/>
        <v>12</v>
      </c>
      <c r="E46" s="148">
        <f t="shared" si="2"/>
        <v>2500</v>
      </c>
      <c r="F46" s="148">
        <f t="shared" si="2"/>
        <v>45</v>
      </c>
      <c r="G46" s="148">
        <f t="shared" si="2"/>
        <v>5000</v>
      </c>
      <c r="H46" s="145">
        <v>0</v>
      </c>
      <c r="I46" s="145">
        <v>6</v>
      </c>
      <c r="J46" s="147">
        <f t="shared" ref="J46:J55" si="3">1-EXP(-((H46/$C$38)^$C$37))</f>
        <v>0</v>
      </c>
      <c r="K46" s="147">
        <f t="shared" ref="K46:K55" si="4">1-EXP(-((I46/$C$38)^$C$37))</f>
        <v>0.50568346068321834</v>
      </c>
      <c r="L46" s="141">
        <f t="shared" ref="L46:L55" si="5">B46*(K46-J46)</f>
        <v>5056.8346068321835</v>
      </c>
      <c r="M46" s="146">
        <f t="shared" ref="M46:M55" si="6">$C$43*L46</f>
        <v>3145.9921144447894</v>
      </c>
      <c r="N46" s="146">
        <f t="shared" ref="N46:N55" si="7">E46*LN(M46)-M46</f>
        <v>16988.719328258514</v>
      </c>
      <c r="Q46"/>
      <c r="R46"/>
      <c r="S46"/>
      <c r="T46"/>
      <c r="U46"/>
      <c r="V46"/>
      <c r="W46"/>
      <c r="X46"/>
      <c r="Y46"/>
      <c r="Z46"/>
    </row>
    <row r="47" spans="1:26" s="139" customFormat="1" ht="19.95" customHeight="1">
      <c r="A47" s="145">
        <f t="shared" si="0"/>
        <v>2018</v>
      </c>
      <c r="B47" s="148">
        <f t="shared" si="1"/>
        <v>10000</v>
      </c>
      <c r="C47" s="145">
        <f t="shared" si="2"/>
        <v>12</v>
      </c>
      <c r="D47" s="145">
        <f t="shared" si="2"/>
        <v>24</v>
      </c>
      <c r="E47" s="148">
        <f t="shared" si="2"/>
        <v>1800</v>
      </c>
      <c r="F47" s="148">
        <f t="shared" si="2"/>
        <v>45</v>
      </c>
      <c r="G47" s="148">
        <f t="shared" si="2"/>
        <v>5000</v>
      </c>
      <c r="H47" s="145">
        <v>6</v>
      </c>
      <c r="I47" s="145">
        <v>18</v>
      </c>
      <c r="J47" s="147">
        <f t="shared" si="3"/>
        <v>0.50568346068321834</v>
      </c>
      <c r="K47" s="147">
        <f t="shared" si="4"/>
        <v>0.78509286667095668</v>
      </c>
      <c r="L47" s="141">
        <f t="shared" si="5"/>
        <v>2794.0940598773832</v>
      </c>
      <c r="M47" s="146">
        <f t="shared" si="6"/>
        <v>1738.2806761200025</v>
      </c>
      <c r="N47" s="146">
        <f t="shared" si="7"/>
        <v>11690.892539627805</v>
      </c>
      <c r="Q47"/>
      <c r="R47"/>
      <c r="S47"/>
      <c r="T47"/>
      <c r="U47"/>
      <c r="V47"/>
      <c r="W47"/>
      <c r="X47"/>
      <c r="Y47"/>
      <c r="Z47"/>
    </row>
    <row r="48" spans="1:26" s="139" customFormat="1" ht="19.95" customHeight="1">
      <c r="A48" s="145">
        <f t="shared" si="0"/>
        <v>2018</v>
      </c>
      <c r="B48" s="148">
        <f t="shared" si="1"/>
        <v>10000</v>
      </c>
      <c r="C48" s="145">
        <f t="shared" si="2"/>
        <v>24</v>
      </c>
      <c r="D48" s="145">
        <f t="shared" si="2"/>
        <v>36</v>
      </c>
      <c r="E48" s="148">
        <f t="shared" si="2"/>
        <v>500</v>
      </c>
      <c r="F48" s="148">
        <f t="shared" si="2"/>
        <v>45</v>
      </c>
      <c r="G48" s="148">
        <f t="shared" si="2"/>
        <v>5000</v>
      </c>
      <c r="H48" s="145">
        <v>18</v>
      </c>
      <c r="I48" s="145">
        <v>30</v>
      </c>
      <c r="J48" s="147">
        <f t="shared" si="3"/>
        <v>0.78509286667095668</v>
      </c>
      <c r="K48" s="147">
        <f t="shared" si="4"/>
        <v>0.89030824845275225</v>
      </c>
      <c r="L48" s="141">
        <f t="shared" si="5"/>
        <v>1052.1538178179558</v>
      </c>
      <c r="M48" s="146">
        <f t="shared" si="6"/>
        <v>654.5730425049112</v>
      </c>
      <c r="N48" s="146">
        <f t="shared" si="7"/>
        <v>2587.418547289566</v>
      </c>
      <c r="Q48"/>
      <c r="R48"/>
      <c r="S48"/>
      <c r="T48"/>
      <c r="U48"/>
      <c r="V48"/>
      <c r="W48"/>
      <c r="X48"/>
      <c r="Y48"/>
      <c r="Z48"/>
    </row>
    <row r="49" spans="1:26" s="139" customFormat="1" ht="19.95" customHeight="1">
      <c r="A49" s="145">
        <f t="shared" si="0"/>
        <v>2018</v>
      </c>
      <c r="B49" s="148">
        <f t="shared" si="1"/>
        <v>10000</v>
      </c>
      <c r="C49" s="145">
        <f t="shared" si="2"/>
        <v>36</v>
      </c>
      <c r="D49" s="145">
        <f t="shared" si="2"/>
        <v>45</v>
      </c>
      <c r="E49" s="148">
        <f t="shared" si="2"/>
        <v>200</v>
      </c>
      <c r="F49" s="148">
        <f t="shared" si="2"/>
        <v>45</v>
      </c>
      <c r="G49" s="148">
        <f t="shared" si="2"/>
        <v>5000</v>
      </c>
      <c r="H49" s="145">
        <v>30</v>
      </c>
      <c r="I49" s="145">
        <v>39</v>
      </c>
      <c r="J49" s="147">
        <f t="shared" si="3"/>
        <v>0.89030824845275225</v>
      </c>
      <c r="K49" s="147">
        <f t="shared" si="4"/>
        <v>0.93024891032324308</v>
      </c>
      <c r="L49" s="141">
        <f t="shared" si="5"/>
        <v>399.40661870490834</v>
      </c>
      <c r="M49" s="146">
        <f t="shared" si="6"/>
        <v>248.48154440428542</v>
      </c>
      <c r="N49" s="146">
        <f t="shared" si="7"/>
        <v>854.59217055328986</v>
      </c>
      <c r="Q49"/>
      <c r="R49"/>
      <c r="S49"/>
      <c r="T49"/>
      <c r="U49"/>
      <c r="V49"/>
      <c r="W49"/>
      <c r="X49"/>
      <c r="Y49"/>
      <c r="Z49"/>
    </row>
    <row r="50" spans="1:26" s="139" customFormat="1" ht="19.95" customHeight="1">
      <c r="A50" s="145">
        <f t="shared" si="0"/>
        <v>2019</v>
      </c>
      <c r="B50" s="148">
        <f t="shared" si="1"/>
        <v>12000</v>
      </c>
      <c r="C50" s="145">
        <f t="shared" si="2"/>
        <v>0</v>
      </c>
      <c r="D50" s="145">
        <f t="shared" si="2"/>
        <v>12</v>
      </c>
      <c r="E50" s="148">
        <f t="shared" si="2"/>
        <v>4100</v>
      </c>
      <c r="F50" s="148">
        <f t="shared" si="2"/>
        <v>33</v>
      </c>
      <c r="G50" s="148">
        <f t="shared" si="2"/>
        <v>7000</v>
      </c>
      <c r="H50" s="145">
        <v>0</v>
      </c>
      <c r="I50" s="145">
        <v>6</v>
      </c>
      <c r="J50" s="147">
        <f t="shared" si="3"/>
        <v>0</v>
      </c>
      <c r="K50" s="147">
        <f t="shared" si="4"/>
        <v>0.50568346068321834</v>
      </c>
      <c r="L50" s="141">
        <f t="shared" si="5"/>
        <v>6068.2015281986205</v>
      </c>
      <c r="M50" s="146">
        <f t="shared" si="6"/>
        <v>3775.1905373337477</v>
      </c>
      <c r="N50" s="146">
        <f t="shared" si="7"/>
        <v>29993.254611554887</v>
      </c>
      <c r="Q50"/>
      <c r="R50"/>
      <c r="S50"/>
      <c r="T50"/>
      <c r="U50"/>
      <c r="V50"/>
      <c r="W50"/>
      <c r="X50"/>
      <c r="Y50"/>
      <c r="Z50"/>
    </row>
    <row r="51" spans="1:26" s="139" customFormat="1" ht="19.95" customHeight="1">
      <c r="A51" s="145">
        <f t="shared" si="0"/>
        <v>2019</v>
      </c>
      <c r="B51" s="148">
        <f t="shared" si="1"/>
        <v>12000</v>
      </c>
      <c r="C51" s="145">
        <f t="shared" si="2"/>
        <v>12</v>
      </c>
      <c r="D51" s="145">
        <f t="shared" si="2"/>
        <v>24</v>
      </c>
      <c r="E51" s="148">
        <f t="shared" si="2"/>
        <v>2000</v>
      </c>
      <c r="F51" s="148">
        <f t="shared" si="2"/>
        <v>33</v>
      </c>
      <c r="G51" s="148">
        <f t="shared" si="2"/>
        <v>7000</v>
      </c>
      <c r="H51" s="145">
        <v>6</v>
      </c>
      <c r="I51" s="145">
        <v>18</v>
      </c>
      <c r="J51" s="147">
        <f t="shared" si="3"/>
        <v>0.50568346068321834</v>
      </c>
      <c r="K51" s="147">
        <f t="shared" si="4"/>
        <v>0.78509286667095668</v>
      </c>
      <c r="L51" s="141">
        <f t="shared" si="5"/>
        <v>3352.91287185286</v>
      </c>
      <c r="M51" s="146">
        <f t="shared" si="6"/>
        <v>2085.9368113440032</v>
      </c>
      <c r="N51" s="146">
        <f t="shared" si="7"/>
        <v>13200.009875297024</v>
      </c>
      <c r="Q51"/>
      <c r="R51"/>
      <c r="S51"/>
      <c r="T51"/>
      <c r="U51"/>
      <c r="V51"/>
      <c r="W51"/>
      <c r="X51"/>
      <c r="Y51"/>
      <c r="Z51"/>
    </row>
    <row r="52" spans="1:26" s="139" customFormat="1" ht="19.95" customHeight="1">
      <c r="A52" s="145">
        <f t="shared" si="0"/>
        <v>2019</v>
      </c>
      <c r="B52" s="148">
        <f t="shared" si="1"/>
        <v>12000</v>
      </c>
      <c r="C52" s="145">
        <f t="shared" si="2"/>
        <v>24</v>
      </c>
      <c r="D52" s="145">
        <f t="shared" si="2"/>
        <v>33</v>
      </c>
      <c r="E52" s="148">
        <f t="shared" si="2"/>
        <v>900</v>
      </c>
      <c r="F52" s="148">
        <f t="shared" si="2"/>
        <v>33</v>
      </c>
      <c r="G52" s="148">
        <f t="shared" si="2"/>
        <v>7000</v>
      </c>
      <c r="H52" s="145">
        <v>18</v>
      </c>
      <c r="I52" s="145">
        <v>27</v>
      </c>
      <c r="J52" s="147">
        <f t="shared" si="3"/>
        <v>0.78509286667095668</v>
      </c>
      <c r="K52" s="147">
        <f t="shared" si="4"/>
        <v>0.87135793392589034</v>
      </c>
      <c r="L52" s="141">
        <f t="shared" si="5"/>
        <v>1035.180807059204</v>
      </c>
      <c r="M52" s="146">
        <f t="shared" si="6"/>
        <v>644.01367836567749</v>
      </c>
      <c r="N52" s="146">
        <f t="shared" si="7"/>
        <v>5176.9342906536685</v>
      </c>
      <c r="Q52"/>
      <c r="R52"/>
      <c r="S52"/>
      <c r="T52"/>
      <c r="U52"/>
      <c r="V52"/>
      <c r="W52"/>
      <c r="X52"/>
      <c r="Y52"/>
      <c r="Z52"/>
    </row>
    <row r="53" spans="1:26" s="139" customFormat="1" ht="19.95" customHeight="1">
      <c r="A53" s="145">
        <f t="shared" si="0"/>
        <v>2020</v>
      </c>
      <c r="B53" s="148">
        <f t="shared" si="1"/>
        <v>15000</v>
      </c>
      <c r="C53" s="145">
        <f t="shared" si="2"/>
        <v>0</v>
      </c>
      <c r="D53" s="145">
        <f t="shared" si="2"/>
        <v>12</v>
      </c>
      <c r="E53" s="148">
        <f t="shared" si="2"/>
        <v>4600</v>
      </c>
      <c r="F53" s="148">
        <f t="shared" si="2"/>
        <v>21</v>
      </c>
      <c r="G53" s="148">
        <f t="shared" si="2"/>
        <v>6800</v>
      </c>
      <c r="H53" s="145">
        <v>0</v>
      </c>
      <c r="I53" s="145">
        <v>6</v>
      </c>
      <c r="J53" s="147">
        <f t="shared" si="3"/>
        <v>0</v>
      </c>
      <c r="K53" s="147">
        <f t="shared" si="4"/>
        <v>0.50568346068321834</v>
      </c>
      <c r="L53" s="141">
        <f t="shared" si="5"/>
        <v>7585.2519102482747</v>
      </c>
      <c r="M53" s="146">
        <f t="shared" si="6"/>
        <v>4718.9881716671844</v>
      </c>
      <c r="N53" s="146">
        <f t="shared" si="7"/>
        <v>34194.020380204442</v>
      </c>
      <c r="Q53"/>
      <c r="R53"/>
      <c r="S53"/>
      <c r="T53"/>
      <c r="U53"/>
      <c r="V53"/>
      <c r="W53"/>
      <c r="X53"/>
      <c r="Y53"/>
      <c r="Z53"/>
    </row>
    <row r="54" spans="1:26" s="139" customFormat="1" ht="19.95" customHeight="1">
      <c r="A54" s="145">
        <f t="shared" si="0"/>
        <v>2020</v>
      </c>
      <c r="B54" s="148">
        <f t="shared" si="1"/>
        <v>15000</v>
      </c>
      <c r="C54" s="145">
        <f t="shared" si="2"/>
        <v>12</v>
      </c>
      <c r="D54" s="145">
        <f t="shared" si="2"/>
        <v>21</v>
      </c>
      <c r="E54" s="148">
        <f t="shared" si="2"/>
        <v>2200</v>
      </c>
      <c r="F54" s="148">
        <f t="shared" si="2"/>
        <v>21</v>
      </c>
      <c r="G54" s="148">
        <f t="shared" si="2"/>
        <v>6800</v>
      </c>
      <c r="H54" s="145">
        <v>6</v>
      </c>
      <c r="I54" s="145">
        <v>15</v>
      </c>
      <c r="J54" s="147">
        <f t="shared" si="3"/>
        <v>0.50568346068321834</v>
      </c>
      <c r="K54" s="147">
        <f t="shared" si="4"/>
        <v>0.74096346643596389</v>
      </c>
      <c r="L54" s="141">
        <f t="shared" si="5"/>
        <v>3529.2000862911832</v>
      </c>
      <c r="M54" s="146">
        <f t="shared" si="6"/>
        <v>2195.6098043564889</v>
      </c>
      <c r="N54" s="146">
        <f t="shared" si="7"/>
        <v>14731.663420312689</v>
      </c>
      <c r="Q54"/>
      <c r="R54"/>
      <c r="S54"/>
      <c r="T54"/>
      <c r="U54"/>
      <c r="V54"/>
      <c r="W54"/>
      <c r="X54"/>
      <c r="Y54"/>
      <c r="Z54"/>
    </row>
    <row r="55" spans="1:26" s="139" customFormat="1" ht="19.95" customHeight="1">
      <c r="A55" s="145">
        <f t="shared" si="0"/>
        <v>2021</v>
      </c>
      <c r="B55" s="148">
        <f t="shared" si="1"/>
        <v>18000</v>
      </c>
      <c r="C55" s="145">
        <f t="shared" si="2"/>
        <v>0</v>
      </c>
      <c r="D55" s="145">
        <f t="shared" si="2"/>
        <v>9</v>
      </c>
      <c r="E55" s="148">
        <f t="shared" si="2"/>
        <v>5300</v>
      </c>
      <c r="F55" s="148">
        <f t="shared" si="2"/>
        <v>9</v>
      </c>
      <c r="G55" s="148">
        <f t="shared" si="2"/>
        <v>5300</v>
      </c>
      <c r="H55" s="145">
        <v>0</v>
      </c>
      <c r="I55" s="145">
        <v>4.5</v>
      </c>
      <c r="J55" s="147">
        <f t="shared" si="3"/>
        <v>0</v>
      </c>
      <c r="K55" s="147">
        <f t="shared" si="4"/>
        <v>0.43693611066117988</v>
      </c>
      <c r="L55" s="141">
        <f t="shared" si="5"/>
        <v>7864.8499919012374</v>
      </c>
      <c r="M55" s="146">
        <f t="shared" si="6"/>
        <v>4892.9336194589077</v>
      </c>
      <c r="N55" s="146">
        <f t="shared" si="7"/>
        <v>40133.467201807689</v>
      </c>
      <c r="Q55"/>
      <c r="R55"/>
      <c r="S55"/>
      <c r="T55"/>
      <c r="U55"/>
      <c r="V55"/>
      <c r="W55"/>
      <c r="X55"/>
      <c r="Y55"/>
      <c r="Z55"/>
    </row>
    <row r="56" spans="1:26" s="139" customFormat="1" ht="19.95" customHeight="1">
      <c r="A56" s="145"/>
      <c r="B56" s="145"/>
      <c r="C56" s="145"/>
      <c r="D56" s="145"/>
      <c r="E56" s="145"/>
      <c r="F56" s="145"/>
      <c r="G56" s="145"/>
      <c r="H56" s="145"/>
      <c r="I56" s="145"/>
      <c r="J56" s="145"/>
      <c r="K56" s="145"/>
      <c r="L56" s="145"/>
      <c r="M56"/>
      <c r="N56"/>
      <c r="O56"/>
      <c r="P56"/>
      <c r="Q56"/>
      <c r="R56"/>
      <c r="S56"/>
      <c r="T56"/>
      <c r="U56"/>
      <c r="V56"/>
      <c r="W56"/>
      <c r="X56"/>
      <c r="Y56"/>
      <c r="Z56"/>
    </row>
    <row r="57" spans="1:26" s="139" customFormat="1">
      <c r="A57" s="145"/>
      <c r="B57" s="145"/>
      <c r="C57" s="145"/>
      <c r="D57" s="145"/>
      <c r="E57" s="145"/>
      <c r="F57" s="145"/>
      <c r="G57" s="145"/>
      <c r="H57" s="145"/>
      <c r="I57" s="145"/>
      <c r="J57" s="145"/>
      <c r="K57" s="145"/>
      <c r="L57" s="145"/>
      <c r="M57"/>
      <c r="N57"/>
      <c r="O57"/>
      <c r="P57"/>
      <c r="Q57"/>
      <c r="R57"/>
      <c r="S57"/>
      <c r="T57"/>
      <c r="U57"/>
      <c r="V57"/>
      <c r="W57"/>
      <c r="X57"/>
      <c r="Y57"/>
      <c r="Z57"/>
    </row>
    <row r="58" spans="1:26" ht="16.2">
      <c r="A58" s="3" t="s">
        <v>4</v>
      </c>
      <c r="B58" s="3" t="s">
        <v>171</v>
      </c>
      <c r="C58" s="5"/>
      <c r="D58" s="3"/>
      <c r="E58" s="3"/>
      <c r="F58" s="3"/>
      <c r="G58" s="3"/>
      <c r="H58" s="3"/>
      <c r="I58" s="2"/>
      <c r="J58" s="3"/>
      <c r="K58" s="3"/>
      <c r="L58" s="3"/>
      <c r="M58"/>
      <c r="N58"/>
      <c r="O58"/>
      <c r="P58"/>
      <c r="Q58"/>
      <c r="R58"/>
      <c r="S58"/>
      <c r="T58"/>
      <c r="U58"/>
      <c r="V58"/>
      <c r="W58"/>
      <c r="X58"/>
      <c r="Y58"/>
      <c r="Z58"/>
    </row>
    <row r="59" spans="1:26" ht="16.2">
      <c r="A59" s="5"/>
      <c r="B59" s="5" t="s">
        <v>64</v>
      </c>
      <c r="C59" s="5"/>
      <c r="D59" s="4"/>
      <c r="E59" s="4"/>
      <c r="F59" s="3"/>
      <c r="G59" s="3"/>
      <c r="H59" s="3"/>
      <c r="I59" s="2"/>
      <c r="J59" s="2"/>
      <c r="K59" s="2"/>
      <c r="L59" s="2"/>
      <c r="M59"/>
      <c r="N59"/>
      <c r="O59"/>
      <c r="P59"/>
      <c r="Q59"/>
      <c r="R59"/>
      <c r="S59"/>
      <c r="T59"/>
      <c r="U59"/>
      <c r="V59"/>
      <c r="W59"/>
      <c r="X59"/>
      <c r="Y59"/>
      <c r="Z59"/>
    </row>
    <row r="60" spans="1:26" s="139" customFormat="1">
      <c r="M60"/>
      <c r="N60"/>
      <c r="O60"/>
      <c r="P60"/>
      <c r="Q60"/>
      <c r="R60"/>
      <c r="S60"/>
      <c r="T60"/>
      <c r="U60"/>
      <c r="V60"/>
      <c r="W60"/>
      <c r="X60"/>
      <c r="Y60"/>
      <c r="Z60"/>
    </row>
    <row r="61" spans="1:26" s="139" customFormat="1">
      <c r="B61" s="141">
        <f>SUM(N46:N55)</f>
        <v>169550.97236555957</v>
      </c>
      <c r="M61"/>
      <c r="N61"/>
      <c r="O61"/>
      <c r="P61"/>
      <c r="Q61"/>
      <c r="R61"/>
      <c r="S61"/>
      <c r="T61"/>
      <c r="U61"/>
      <c r="V61"/>
      <c r="W61"/>
      <c r="X61"/>
      <c r="Y61"/>
      <c r="Z61"/>
    </row>
    <row r="62" spans="1:26" s="139" customFormat="1">
      <c r="M62"/>
      <c r="N62"/>
      <c r="O62"/>
      <c r="P62"/>
      <c r="Q62"/>
      <c r="R62"/>
      <c r="S62"/>
      <c r="T62"/>
      <c r="U62"/>
      <c r="V62"/>
      <c r="W62"/>
      <c r="X62"/>
      <c r="Y62"/>
      <c r="Z62"/>
    </row>
    <row r="63" spans="1:26" ht="16.2">
      <c r="A63" s="3" t="s">
        <v>48</v>
      </c>
      <c r="B63" s="3" t="s">
        <v>170</v>
      </c>
      <c r="C63" s="5"/>
      <c r="D63" s="3"/>
      <c r="E63" s="3"/>
      <c r="F63" s="3"/>
      <c r="G63" s="3"/>
      <c r="H63" s="2"/>
      <c r="I63" s="44"/>
      <c r="J63" s="2"/>
      <c r="K63" s="2"/>
      <c r="L63" s="2"/>
      <c r="M63"/>
      <c r="N63"/>
      <c r="O63"/>
      <c r="P63"/>
      <c r="Q63"/>
      <c r="R63"/>
      <c r="S63"/>
      <c r="T63"/>
      <c r="U63"/>
      <c r="V63"/>
      <c r="W63"/>
      <c r="X63"/>
      <c r="Y63"/>
      <c r="Z63"/>
    </row>
    <row r="64" spans="1:26" ht="16.2">
      <c r="A64" s="5"/>
      <c r="B64" s="5" t="s">
        <v>64</v>
      </c>
      <c r="C64" s="5"/>
      <c r="D64" s="4"/>
      <c r="E64" s="4"/>
      <c r="F64" s="3"/>
      <c r="G64" s="3"/>
      <c r="H64" s="2"/>
      <c r="I64" s="44"/>
      <c r="J64" s="2"/>
      <c r="K64" s="2"/>
      <c r="L64" s="2"/>
      <c r="M64"/>
      <c r="N64"/>
      <c r="O64"/>
      <c r="P64"/>
      <c r="Q64"/>
      <c r="R64"/>
      <c r="S64"/>
      <c r="T64"/>
      <c r="U64"/>
      <c r="V64"/>
      <c r="W64"/>
      <c r="X64"/>
      <c r="Y64"/>
      <c r="Z64"/>
    </row>
    <row r="65" spans="1:26" s="139" customFormat="1">
      <c r="M65"/>
      <c r="N65"/>
      <c r="O65"/>
      <c r="P65"/>
      <c r="Q65"/>
      <c r="R65"/>
      <c r="S65"/>
      <c r="T65"/>
      <c r="U65"/>
      <c r="V65"/>
      <c r="W65"/>
      <c r="X65"/>
      <c r="Y65"/>
      <c r="Z65"/>
    </row>
    <row r="66" spans="1:26" s="139" customFormat="1" ht="31.2">
      <c r="A66" s="144" t="s">
        <v>31</v>
      </c>
      <c r="B66" s="144" t="s">
        <v>30</v>
      </c>
      <c r="C66" s="144" t="s">
        <v>115</v>
      </c>
      <c r="D66" s="144" t="s">
        <v>169</v>
      </c>
      <c r="E66" s="144" t="s">
        <v>99</v>
      </c>
      <c r="M66"/>
      <c r="N66"/>
      <c r="O66"/>
      <c r="P66"/>
      <c r="Q66"/>
      <c r="R66"/>
      <c r="S66"/>
      <c r="T66"/>
      <c r="U66"/>
      <c r="V66"/>
      <c r="W66"/>
      <c r="X66"/>
      <c r="Y66"/>
      <c r="Z66"/>
    </row>
    <row r="67" spans="1:26" s="139" customFormat="1">
      <c r="A67" s="139">
        <v>2018</v>
      </c>
      <c r="B67" s="143">
        <f>C21</f>
        <v>10000</v>
      </c>
      <c r="C67" s="141">
        <f>B67*$C$43</f>
        <v>6221.2675696260767</v>
      </c>
      <c r="E67" s="142"/>
      <c r="M67"/>
      <c r="N67"/>
      <c r="O67"/>
      <c r="P67"/>
      <c r="Q67"/>
      <c r="R67"/>
      <c r="S67"/>
      <c r="T67"/>
      <c r="U67"/>
      <c r="V67"/>
      <c r="W67"/>
      <c r="X67"/>
      <c r="Y67"/>
      <c r="Z67"/>
    </row>
    <row r="68" spans="1:26" s="139" customFormat="1">
      <c r="A68" s="139">
        <v>2019</v>
      </c>
      <c r="B68" s="143">
        <f>C22</f>
        <v>12000</v>
      </c>
      <c r="C68" s="141">
        <f>B68*$C$43</f>
        <v>7465.5210835512917</v>
      </c>
      <c r="E68" s="142"/>
      <c r="M68"/>
      <c r="N68"/>
      <c r="O68"/>
      <c r="P68"/>
      <c r="Q68"/>
      <c r="R68"/>
      <c r="S68"/>
      <c r="T68"/>
      <c r="U68"/>
      <c r="V68"/>
      <c r="W68"/>
      <c r="X68"/>
      <c r="Y68"/>
      <c r="Z68"/>
    </row>
    <row r="69" spans="1:26" s="139" customFormat="1">
      <c r="A69" s="139">
        <v>2020</v>
      </c>
      <c r="B69" s="143">
        <f>C23</f>
        <v>15000</v>
      </c>
      <c r="C69" s="141">
        <f>B69*$C$43</f>
        <v>9331.9013544391146</v>
      </c>
      <c r="E69" s="142"/>
      <c r="M69"/>
      <c r="N69"/>
      <c r="O69"/>
      <c r="P69"/>
      <c r="Q69"/>
      <c r="R69"/>
      <c r="S69"/>
      <c r="T69"/>
      <c r="U69"/>
      <c r="V69"/>
      <c r="W69"/>
      <c r="X69"/>
      <c r="Y69"/>
      <c r="Z69"/>
    </row>
    <row r="70" spans="1:26" s="139" customFormat="1" ht="16.2" thickBot="1">
      <c r="A70" s="139">
        <v>2021</v>
      </c>
      <c r="B70" s="143">
        <f>C24</f>
        <v>18000</v>
      </c>
      <c r="C70" s="141">
        <f>B70*$C$43</f>
        <v>11198.281625326938</v>
      </c>
      <c r="E70" s="142"/>
      <c r="M70"/>
      <c r="N70"/>
      <c r="O70"/>
      <c r="P70"/>
      <c r="Q70"/>
      <c r="R70"/>
      <c r="S70"/>
      <c r="T70"/>
      <c r="U70"/>
      <c r="V70"/>
      <c r="W70"/>
      <c r="X70"/>
      <c r="Y70"/>
      <c r="Z70"/>
    </row>
    <row r="71" spans="1:26" s="139" customFormat="1" ht="16.2" thickBot="1">
      <c r="A71" s="139" t="s">
        <v>72</v>
      </c>
      <c r="C71" s="141">
        <f>SUM(C67:C70)</f>
        <v>34216.971632943416</v>
      </c>
      <c r="D71" s="141">
        <f>SUM(E46:E55)</f>
        <v>24100</v>
      </c>
      <c r="E71" s="140">
        <f>C71-D71</f>
        <v>10116.971632943416</v>
      </c>
      <c r="M71"/>
      <c r="N71"/>
      <c r="O71"/>
      <c r="P71"/>
      <c r="Q71"/>
      <c r="R71"/>
      <c r="S71"/>
      <c r="T71"/>
      <c r="U71"/>
      <c r="V71"/>
      <c r="W71"/>
      <c r="X71"/>
      <c r="Y71"/>
      <c r="Z71"/>
    </row>
    <row r="72" spans="1:26" s="139" customFormat="1">
      <c r="M72"/>
      <c r="N72"/>
      <c r="O72"/>
      <c r="P72"/>
      <c r="Q72"/>
      <c r="R72"/>
      <c r="S72"/>
      <c r="T72"/>
      <c r="U72"/>
      <c r="V72"/>
      <c r="W72"/>
      <c r="X72"/>
      <c r="Y72"/>
      <c r="Z72"/>
    </row>
    <row r="73" spans="1:26" s="139" customFormat="1">
      <c r="M73"/>
      <c r="N73"/>
      <c r="O73"/>
      <c r="P73"/>
      <c r="Q73"/>
      <c r="R73"/>
      <c r="S73"/>
      <c r="T73"/>
      <c r="U73"/>
      <c r="V73"/>
      <c r="W73"/>
      <c r="X73"/>
      <c r="Y73"/>
      <c r="Z73"/>
    </row>
    <row r="74" spans="1:26" s="139" customFormat="1">
      <c r="M74"/>
      <c r="N74"/>
      <c r="O74"/>
      <c r="P74"/>
      <c r="Q74"/>
      <c r="R74"/>
      <c r="S74"/>
      <c r="T74"/>
      <c r="U74"/>
      <c r="V74"/>
      <c r="W74"/>
      <c r="X74"/>
      <c r="Y74"/>
      <c r="Z74"/>
    </row>
    <row r="75" spans="1:26" s="139" customFormat="1">
      <c r="M75"/>
      <c r="N75"/>
      <c r="O75"/>
      <c r="P75"/>
      <c r="Q75"/>
      <c r="R75"/>
      <c r="S75"/>
      <c r="T75"/>
      <c r="U75"/>
      <c r="V75"/>
      <c r="W75"/>
      <c r="X75"/>
      <c r="Y75"/>
      <c r="Z75"/>
    </row>
    <row r="76" spans="1:26">
      <c r="M76"/>
      <c r="N76"/>
      <c r="O76"/>
      <c r="P76"/>
      <c r="Q76"/>
      <c r="R76"/>
      <c r="S76"/>
      <c r="T76"/>
      <c r="U76"/>
      <c r="V76"/>
      <c r="W76"/>
      <c r="X76"/>
      <c r="Y76"/>
      <c r="Z76"/>
    </row>
    <row r="77" spans="1:26">
      <c r="M77"/>
      <c r="N77"/>
      <c r="O77"/>
      <c r="P77"/>
      <c r="Q77"/>
      <c r="R77"/>
      <c r="S77"/>
      <c r="T77"/>
      <c r="U77"/>
      <c r="V77"/>
      <c r="W77"/>
      <c r="X77"/>
      <c r="Y77"/>
      <c r="Z77"/>
    </row>
    <row r="78" spans="1:26">
      <c r="M78"/>
      <c r="N78"/>
      <c r="O78"/>
      <c r="P78"/>
      <c r="Q78"/>
      <c r="R78"/>
      <c r="S78"/>
      <c r="T78"/>
      <c r="U78"/>
      <c r="V78"/>
      <c r="W78"/>
      <c r="X78"/>
      <c r="Y78"/>
      <c r="Z78"/>
    </row>
    <row r="79" spans="1:26">
      <c r="M79"/>
      <c r="N79"/>
      <c r="O79"/>
      <c r="P79"/>
      <c r="Q79"/>
      <c r="R79"/>
      <c r="S79"/>
      <c r="T79"/>
      <c r="U79"/>
      <c r="V79"/>
      <c r="W79"/>
      <c r="X79"/>
      <c r="Y79"/>
      <c r="Z79"/>
    </row>
    <row r="80" spans="1:26">
      <c r="M80"/>
      <c r="N80"/>
      <c r="O80"/>
      <c r="P80"/>
      <c r="Q80"/>
      <c r="R80"/>
      <c r="S80"/>
      <c r="T80"/>
      <c r="U80"/>
      <c r="V80"/>
      <c r="W80"/>
      <c r="X80"/>
      <c r="Y80"/>
      <c r="Z80"/>
    </row>
    <row r="81" spans="13:26">
      <c r="M81"/>
      <c r="N81"/>
      <c r="O81"/>
      <c r="P81"/>
      <c r="Q81"/>
      <c r="R81"/>
      <c r="S81"/>
      <c r="T81"/>
      <c r="U81"/>
      <c r="V81"/>
      <c r="W81"/>
      <c r="X81"/>
      <c r="Y81"/>
      <c r="Z81"/>
    </row>
    <row r="82" spans="13:26">
      <c r="M82"/>
      <c r="N82"/>
      <c r="O82"/>
      <c r="P82"/>
      <c r="Q82"/>
      <c r="R82"/>
      <c r="S82"/>
      <c r="T82"/>
      <c r="U82"/>
      <c r="V82"/>
      <c r="W82"/>
      <c r="X82"/>
      <c r="Y82"/>
      <c r="Z82"/>
    </row>
    <row r="83" spans="13:26">
      <c r="M83"/>
      <c r="N83"/>
      <c r="O83"/>
      <c r="P83"/>
      <c r="Q83"/>
      <c r="R83"/>
      <c r="S83"/>
      <c r="T83"/>
      <c r="U83"/>
      <c r="V83"/>
      <c r="W83"/>
      <c r="X83"/>
      <c r="Y83"/>
      <c r="Z83"/>
    </row>
    <row r="84" spans="13:26">
      <c r="M84"/>
      <c r="N84"/>
      <c r="O84"/>
      <c r="P84"/>
      <c r="Q84"/>
      <c r="R84"/>
      <c r="S84"/>
      <c r="T84"/>
      <c r="U84"/>
      <c r="V84"/>
      <c r="W84"/>
      <c r="X84"/>
      <c r="Y84"/>
      <c r="Z84"/>
    </row>
    <row r="85" spans="13:26">
      <c r="M85"/>
      <c r="N85"/>
      <c r="O85"/>
      <c r="P85"/>
      <c r="Q85"/>
      <c r="R85"/>
      <c r="S85"/>
      <c r="T85"/>
      <c r="U85"/>
      <c r="V85"/>
      <c r="W85"/>
      <c r="X85"/>
      <c r="Y85"/>
      <c r="Z85"/>
    </row>
    <row r="86" spans="13:26">
      <c r="M86"/>
      <c r="N86"/>
      <c r="O86"/>
      <c r="P86"/>
      <c r="Q86"/>
      <c r="R86"/>
      <c r="S86"/>
      <c r="T86"/>
      <c r="U86"/>
      <c r="V86"/>
      <c r="W86"/>
      <c r="X86"/>
      <c r="Y86"/>
      <c r="Z86"/>
    </row>
    <row r="87" spans="13:26">
      <c r="M87"/>
      <c r="N87"/>
      <c r="O87"/>
      <c r="P87"/>
      <c r="Q87"/>
      <c r="R87"/>
      <c r="S87"/>
      <c r="T87"/>
      <c r="U87"/>
      <c r="V87"/>
      <c r="W87"/>
      <c r="X87"/>
      <c r="Y87"/>
      <c r="Z87"/>
    </row>
    <row r="88" spans="13:26">
      <c r="M88"/>
      <c r="N88"/>
      <c r="O88"/>
      <c r="P88"/>
      <c r="Q88"/>
      <c r="R88"/>
      <c r="S88"/>
      <c r="T88"/>
      <c r="U88"/>
      <c r="V88"/>
      <c r="W88"/>
      <c r="X88"/>
      <c r="Y88"/>
      <c r="Z88"/>
    </row>
    <row r="89" spans="13:26">
      <c r="M89"/>
      <c r="N89"/>
      <c r="O89"/>
      <c r="P89"/>
      <c r="Q89"/>
      <c r="R89"/>
      <c r="S89"/>
      <c r="T89"/>
      <c r="U89"/>
      <c r="V89"/>
      <c r="W89"/>
      <c r="X89"/>
      <c r="Y89"/>
      <c r="Z89"/>
    </row>
    <row r="90" spans="13:26">
      <c r="M90"/>
      <c r="N90"/>
      <c r="O90"/>
      <c r="P90"/>
      <c r="Q90"/>
      <c r="R90"/>
      <c r="S90"/>
      <c r="T90"/>
      <c r="U90"/>
      <c r="V90"/>
      <c r="W90"/>
      <c r="X90"/>
      <c r="Y90"/>
      <c r="Z90"/>
    </row>
    <row r="91" spans="13:26">
      <c r="M91"/>
      <c r="N91"/>
      <c r="O91"/>
      <c r="P91"/>
      <c r="Q91"/>
      <c r="R91"/>
      <c r="S91"/>
      <c r="T91"/>
      <c r="U91"/>
      <c r="V91"/>
      <c r="W91"/>
      <c r="X91"/>
      <c r="Y91"/>
      <c r="Z91"/>
    </row>
    <row r="92" spans="13:26">
      <c r="M92"/>
      <c r="N92"/>
      <c r="O92"/>
      <c r="P92"/>
      <c r="Q92"/>
      <c r="R92"/>
      <c r="S92"/>
      <c r="T92"/>
      <c r="U92"/>
      <c r="V92"/>
      <c r="W92"/>
      <c r="X92"/>
      <c r="Y92"/>
      <c r="Z92"/>
    </row>
    <row r="93" spans="13:26">
      <c r="M93"/>
      <c r="N93"/>
      <c r="O93"/>
      <c r="P93"/>
      <c r="Q93"/>
      <c r="R93"/>
      <c r="S93"/>
      <c r="T93"/>
      <c r="U93"/>
      <c r="V93"/>
      <c r="W93"/>
      <c r="X93"/>
      <c r="Y93"/>
      <c r="Z93"/>
    </row>
    <row r="94" spans="13:26">
      <c r="M94"/>
      <c r="N94"/>
      <c r="O94"/>
      <c r="P94"/>
      <c r="Q94"/>
      <c r="R94"/>
      <c r="S94"/>
      <c r="T94"/>
      <c r="U94"/>
      <c r="V94"/>
      <c r="W94"/>
      <c r="X94"/>
      <c r="Y94"/>
      <c r="Z94"/>
    </row>
    <row r="95" spans="13:26">
      <c r="M95"/>
      <c r="N95"/>
      <c r="O95"/>
      <c r="P95"/>
      <c r="Q95"/>
      <c r="R95"/>
      <c r="S95"/>
      <c r="T95"/>
      <c r="U95"/>
      <c r="V95"/>
      <c r="W95"/>
      <c r="X95"/>
      <c r="Y95"/>
      <c r="Z95"/>
    </row>
    <row r="96" spans="13:26">
      <c r="M96"/>
      <c r="N96"/>
      <c r="O96"/>
      <c r="P96"/>
      <c r="Q96"/>
      <c r="R96"/>
      <c r="S96"/>
      <c r="T96"/>
      <c r="U96"/>
      <c r="V96"/>
      <c r="W96"/>
      <c r="X96"/>
      <c r="Y96"/>
      <c r="Z96"/>
    </row>
    <row r="97" spans="13:26">
      <c r="M97"/>
      <c r="N97"/>
      <c r="O97"/>
      <c r="P97"/>
      <c r="Q97"/>
      <c r="R97"/>
      <c r="S97"/>
      <c r="T97"/>
      <c r="U97"/>
      <c r="V97"/>
      <c r="W97"/>
      <c r="X97"/>
      <c r="Y97"/>
      <c r="Z97"/>
    </row>
    <row r="98" spans="13:26">
      <c r="M98"/>
      <c r="N98"/>
      <c r="O98"/>
      <c r="P98"/>
      <c r="Q98"/>
      <c r="R98"/>
      <c r="S98"/>
      <c r="T98"/>
      <c r="U98"/>
      <c r="V98"/>
      <c r="W98"/>
      <c r="X98"/>
      <c r="Y98"/>
      <c r="Z98"/>
    </row>
    <row r="99" spans="13:26">
      <c r="M99"/>
      <c r="N99"/>
      <c r="O99"/>
      <c r="P99"/>
      <c r="Q99"/>
      <c r="R99"/>
      <c r="S99"/>
      <c r="T99"/>
      <c r="U99"/>
      <c r="V99"/>
      <c r="W99"/>
      <c r="X99"/>
      <c r="Y99"/>
      <c r="Z99"/>
    </row>
    <row r="100" spans="13:26">
      <c r="M100"/>
      <c r="N100"/>
      <c r="O100"/>
      <c r="P100"/>
      <c r="Q100"/>
      <c r="R100"/>
      <c r="S100"/>
      <c r="T100"/>
      <c r="U100"/>
      <c r="V100"/>
      <c r="W100"/>
      <c r="X100"/>
      <c r="Y100"/>
      <c r="Z100"/>
    </row>
    <row r="101" spans="13:26">
      <c r="M101"/>
      <c r="N101"/>
      <c r="O101"/>
      <c r="P101"/>
      <c r="Q101"/>
      <c r="R101"/>
      <c r="S101"/>
      <c r="T101"/>
      <c r="U101"/>
      <c r="V101"/>
      <c r="W101"/>
      <c r="X101"/>
      <c r="Y101"/>
      <c r="Z101"/>
    </row>
    <row r="102" spans="13:26">
      <c r="M102"/>
      <c r="N102"/>
      <c r="O102"/>
      <c r="P102"/>
      <c r="Q102"/>
      <c r="R102"/>
      <c r="S102"/>
      <c r="T102"/>
      <c r="U102"/>
      <c r="V102"/>
      <c r="W102"/>
      <c r="X102"/>
      <c r="Y102"/>
      <c r="Z102"/>
    </row>
    <row r="103" spans="13:26">
      <c r="M103"/>
      <c r="N103"/>
      <c r="O103"/>
      <c r="P103"/>
      <c r="Q103"/>
      <c r="R103"/>
      <c r="S103"/>
      <c r="T103"/>
      <c r="U103"/>
      <c r="V103"/>
      <c r="W103"/>
      <c r="X103"/>
      <c r="Y103"/>
      <c r="Z103"/>
    </row>
    <row r="104" spans="13:26">
      <c r="M104"/>
      <c r="N104"/>
      <c r="O104"/>
      <c r="P104"/>
      <c r="Q104"/>
      <c r="R104"/>
      <c r="S104"/>
      <c r="T104"/>
      <c r="U104"/>
      <c r="V104"/>
      <c r="W104"/>
      <c r="X104"/>
      <c r="Y104"/>
      <c r="Z104"/>
    </row>
    <row r="105" spans="13:26">
      <c r="M105"/>
      <c r="N105"/>
      <c r="O105"/>
      <c r="P105"/>
      <c r="Q105"/>
      <c r="R105"/>
      <c r="S105"/>
      <c r="T105"/>
      <c r="U105"/>
      <c r="V105"/>
      <c r="W105"/>
      <c r="X105"/>
      <c r="Y105"/>
      <c r="Z105"/>
    </row>
    <row r="106" spans="13:26">
      <c r="M106"/>
      <c r="N106"/>
      <c r="O106"/>
      <c r="P106"/>
      <c r="Q106"/>
      <c r="R106"/>
      <c r="S106"/>
      <c r="T106"/>
      <c r="U106"/>
      <c r="V106"/>
      <c r="W106"/>
      <c r="X106"/>
      <c r="Y106"/>
      <c r="Z106"/>
    </row>
    <row r="107" spans="13:26">
      <c r="M107"/>
      <c r="N107"/>
      <c r="O107"/>
      <c r="P107"/>
      <c r="Q107"/>
      <c r="R107"/>
      <c r="S107"/>
      <c r="T107"/>
      <c r="U107"/>
      <c r="V107"/>
      <c r="W107"/>
      <c r="X107"/>
      <c r="Y107"/>
      <c r="Z107"/>
    </row>
    <row r="108" spans="13:26">
      <c r="M108"/>
      <c r="N108"/>
      <c r="O108"/>
      <c r="P108"/>
      <c r="Q108"/>
      <c r="R108"/>
      <c r="S108"/>
      <c r="T108"/>
      <c r="U108"/>
      <c r="V108"/>
      <c r="W108"/>
      <c r="X108"/>
      <c r="Y108"/>
      <c r="Z108"/>
    </row>
    <row r="109" spans="13:26">
      <c r="M109"/>
      <c r="N109"/>
      <c r="O109"/>
      <c r="P109"/>
      <c r="Q109"/>
      <c r="R109"/>
      <c r="S109"/>
      <c r="T109"/>
      <c r="U109"/>
      <c r="V109"/>
      <c r="W109"/>
      <c r="X109"/>
      <c r="Y109"/>
      <c r="Z109"/>
    </row>
    <row r="110" spans="13:26">
      <c r="M110"/>
      <c r="N110"/>
      <c r="O110"/>
      <c r="P110"/>
      <c r="Q110"/>
      <c r="R110"/>
      <c r="S110"/>
      <c r="T110"/>
      <c r="U110"/>
      <c r="V110"/>
      <c r="W110"/>
      <c r="X110"/>
      <c r="Y110"/>
      <c r="Z110"/>
    </row>
    <row r="111" spans="13:26">
      <c r="M111"/>
      <c r="N111"/>
      <c r="O111"/>
      <c r="P111"/>
      <c r="Q111"/>
      <c r="R111"/>
      <c r="S111"/>
      <c r="T111"/>
      <c r="U111"/>
      <c r="V111"/>
      <c r="W111"/>
      <c r="X111"/>
      <c r="Y111"/>
      <c r="Z111"/>
    </row>
    <row r="112" spans="13:26">
      <c r="M112"/>
      <c r="N112"/>
      <c r="O112"/>
      <c r="P112"/>
      <c r="Q112"/>
      <c r="R112"/>
      <c r="S112"/>
      <c r="T112"/>
      <c r="U112"/>
      <c r="V112"/>
      <c r="W112"/>
      <c r="X112"/>
      <c r="Y112"/>
      <c r="Z112"/>
    </row>
    <row r="113" spans="13:26">
      <c r="M113"/>
      <c r="N113"/>
      <c r="O113"/>
      <c r="P113"/>
      <c r="Q113"/>
      <c r="R113"/>
      <c r="S113"/>
      <c r="T113"/>
      <c r="U113"/>
      <c r="V113"/>
      <c r="W113"/>
      <c r="X113"/>
      <c r="Y113"/>
      <c r="Z113"/>
    </row>
    <row r="114" spans="13:26">
      <c r="M114"/>
      <c r="N114"/>
      <c r="O114"/>
      <c r="P114"/>
      <c r="Q114"/>
      <c r="R114"/>
      <c r="S114"/>
      <c r="T114"/>
      <c r="U114"/>
      <c r="V114"/>
      <c r="W114"/>
      <c r="X114"/>
      <c r="Y114"/>
      <c r="Z114"/>
    </row>
    <row r="115" spans="13:26">
      <c r="M115"/>
      <c r="N115"/>
      <c r="O115"/>
      <c r="P115"/>
      <c r="Q115"/>
      <c r="R115"/>
      <c r="S115"/>
      <c r="T115"/>
      <c r="U115"/>
      <c r="V115"/>
      <c r="W115"/>
      <c r="X115"/>
      <c r="Y115"/>
      <c r="Z115"/>
    </row>
    <row r="116" spans="13:26">
      <c r="M116"/>
      <c r="N116"/>
      <c r="O116"/>
      <c r="P116"/>
      <c r="Q116"/>
      <c r="R116"/>
      <c r="S116"/>
      <c r="T116"/>
      <c r="U116"/>
      <c r="V116"/>
      <c r="W116"/>
      <c r="X116"/>
      <c r="Y116"/>
      <c r="Z116"/>
    </row>
    <row r="117" spans="13:26">
      <c r="M117"/>
      <c r="N117"/>
      <c r="O117"/>
      <c r="P117"/>
      <c r="Q117"/>
      <c r="R117"/>
      <c r="S117"/>
      <c r="T117"/>
      <c r="U117"/>
      <c r="V117"/>
      <c r="W117"/>
      <c r="X117"/>
      <c r="Y117"/>
      <c r="Z117"/>
    </row>
    <row r="118" spans="13:26">
      <c r="M118"/>
      <c r="N118"/>
      <c r="O118"/>
      <c r="P118"/>
      <c r="Q118"/>
      <c r="R118"/>
      <c r="S118"/>
      <c r="T118"/>
      <c r="U118"/>
      <c r="V118"/>
      <c r="W118"/>
      <c r="X118"/>
      <c r="Y118"/>
      <c r="Z118"/>
    </row>
    <row r="119" spans="13:26">
      <c r="M119"/>
      <c r="N119"/>
      <c r="O119"/>
      <c r="P119"/>
      <c r="Q119"/>
      <c r="R119"/>
      <c r="S119"/>
      <c r="T119"/>
      <c r="U119"/>
      <c r="V119"/>
      <c r="W119"/>
      <c r="X119"/>
      <c r="Y119"/>
      <c r="Z119"/>
    </row>
    <row r="120" spans="13:26">
      <c r="M120"/>
      <c r="N120"/>
      <c r="O120"/>
      <c r="P120"/>
      <c r="Q120"/>
      <c r="R120"/>
      <c r="S120"/>
      <c r="T120"/>
      <c r="U120"/>
      <c r="V120"/>
      <c r="W120"/>
      <c r="X120"/>
      <c r="Y120"/>
      <c r="Z120"/>
    </row>
    <row r="121" spans="13:26">
      <c r="M121"/>
      <c r="N121"/>
      <c r="O121"/>
      <c r="P121"/>
      <c r="Q121"/>
      <c r="R121"/>
      <c r="S121"/>
      <c r="T121"/>
      <c r="U121"/>
      <c r="V121"/>
      <c r="W121"/>
      <c r="X121"/>
      <c r="Y121"/>
      <c r="Z121"/>
    </row>
    <row r="122" spans="13:26">
      <c r="M122"/>
      <c r="N122"/>
      <c r="O122"/>
      <c r="P122"/>
      <c r="Q122"/>
      <c r="R122"/>
      <c r="S122"/>
      <c r="T122"/>
      <c r="U122"/>
      <c r="V122"/>
      <c r="W122"/>
      <c r="X122"/>
      <c r="Y122"/>
      <c r="Z122"/>
    </row>
    <row r="123" spans="13:26">
      <c r="M123"/>
      <c r="N123"/>
      <c r="O123"/>
      <c r="P123"/>
      <c r="Q123"/>
      <c r="R123"/>
      <c r="S123"/>
      <c r="T123"/>
      <c r="U123"/>
      <c r="V123"/>
      <c r="W123"/>
      <c r="X123"/>
      <c r="Y123"/>
      <c r="Z123"/>
    </row>
    <row r="124" spans="13:26">
      <c r="M124"/>
      <c r="N124"/>
      <c r="O124"/>
      <c r="P124"/>
      <c r="Q124"/>
      <c r="R124"/>
      <c r="S124"/>
      <c r="T124"/>
      <c r="U124"/>
      <c r="V124"/>
      <c r="W124"/>
      <c r="X124"/>
      <c r="Y124"/>
      <c r="Z124"/>
    </row>
    <row r="125" spans="13:26">
      <c r="M125"/>
      <c r="N125"/>
      <c r="O125"/>
      <c r="P125"/>
      <c r="Q125"/>
      <c r="R125"/>
      <c r="S125"/>
      <c r="T125"/>
      <c r="U125"/>
      <c r="V125"/>
      <c r="W125"/>
      <c r="X125"/>
      <c r="Y125"/>
      <c r="Z125"/>
    </row>
    <row r="126" spans="13:26">
      <c r="M126"/>
      <c r="N126"/>
      <c r="O126"/>
      <c r="P126"/>
      <c r="Q126"/>
      <c r="R126"/>
      <c r="S126"/>
      <c r="T126"/>
      <c r="U126"/>
      <c r="V126"/>
      <c r="W126"/>
      <c r="X126"/>
      <c r="Y126"/>
      <c r="Z126"/>
    </row>
    <row r="127" spans="13:26">
      <c r="M127"/>
      <c r="N127"/>
      <c r="O127"/>
      <c r="P127"/>
      <c r="Q127"/>
      <c r="R127"/>
      <c r="S127"/>
      <c r="T127"/>
      <c r="U127"/>
      <c r="V127"/>
      <c r="W127"/>
      <c r="X127"/>
      <c r="Y127"/>
      <c r="Z127"/>
    </row>
    <row r="128" spans="13:26">
      <c r="M128"/>
      <c r="N128"/>
      <c r="O128"/>
      <c r="P128"/>
      <c r="Q128"/>
      <c r="R128"/>
      <c r="S128"/>
      <c r="T128"/>
      <c r="U128"/>
      <c r="V128"/>
      <c r="W128"/>
      <c r="X128"/>
      <c r="Y128"/>
      <c r="Z128"/>
    </row>
    <row r="129" spans="13:26">
      <c r="M129"/>
      <c r="N129"/>
      <c r="O129"/>
      <c r="P129"/>
      <c r="Q129"/>
      <c r="R129"/>
      <c r="S129"/>
      <c r="T129"/>
      <c r="U129"/>
      <c r="V129"/>
      <c r="W129"/>
      <c r="X129"/>
      <c r="Y129"/>
      <c r="Z129"/>
    </row>
    <row r="130" spans="13:26">
      <c r="M130"/>
      <c r="N130"/>
      <c r="O130"/>
      <c r="P130"/>
      <c r="Q130"/>
      <c r="R130"/>
      <c r="S130"/>
      <c r="T130"/>
      <c r="U130"/>
      <c r="V130"/>
      <c r="W130"/>
      <c r="X130"/>
      <c r="Y130"/>
      <c r="Z130"/>
    </row>
    <row r="131" spans="13:26">
      <c r="M131"/>
      <c r="N131"/>
      <c r="O131"/>
      <c r="P131"/>
      <c r="Q131"/>
      <c r="R131"/>
      <c r="S131"/>
      <c r="T131"/>
      <c r="U131"/>
      <c r="V131"/>
      <c r="W131"/>
      <c r="X131"/>
      <c r="Y131"/>
      <c r="Z131"/>
    </row>
    <row r="132" spans="13:26">
      <c r="M132"/>
      <c r="N132"/>
      <c r="O132"/>
      <c r="P132"/>
      <c r="Q132"/>
      <c r="R132"/>
      <c r="S132"/>
      <c r="T132"/>
      <c r="U132"/>
      <c r="V132"/>
      <c r="W132"/>
      <c r="X132"/>
      <c r="Y132"/>
      <c r="Z132"/>
    </row>
    <row r="133" spans="13:26">
      <c r="M133"/>
      <c r="N133"/>
      <c r="O133"/>
      <c r="P133"/>
      <c r="Q133"/>
      <c r="R133"/>
      <c r="S133"/>
      <c r="T133"/>
      <c r="U133"/>
      <c r="V133"/>
      <c r="W133"/>
      <c r="X133"/>
      <c r="Y133"/>
      <c r="Z133"/>
    </row>
    <row r="134" spans="13:26">
      <c r="M134"/>
      <c r="N134"/>
      <c r="O134"/>
      <c r="P134"/>
      <c r="Q134"/>
      <c r="R134"/>
      <c r="S134"/>
      <c r="T134"/>
      <c r="U134"/>
      <c r="V134"/>
      <c r="W134"/>
      <c r="X134"/>
      <c r="Y134"/>
      <c r="Z134"/>
    </row>
    <row r="135" spans="13:26">
      <c r="M135"/>
      <c r="N135"/>
      <c r="O135"/>
      <c r="P135"/>
      <c r="Q135"/>
      <c r="R135"/>
      <c r="S135"/>
      <c r="T135"/>
      <c r="U135"/>
      <c r="V135"/>
      <c r="W135"/>
      <c r="X135"/>
      <c r="Y135"/>
      <c r="Z135"/>
    </row>
    <row r="136" spans="13:26">
      <c r="M136"/>
      <c r="N136"/>
      <c r="O136"/>
      <c r="P136"/>
      <c r="Q136"/>
      <c r="R136"/>
      <c r="S136"/>
      <c r="T136"/>
      <c r="U136"/>
      <c r="V136"/>
      <c r="W136"/>
      <c r="X136"/>
      <c r="Y136"/>
      <c r="Z136"/>
    </row>
    <row r="137" spans="13:26">
      <c r="M137"/>
      <c r="N137"/>
      <c r="O137"/>
      <c r="P137"/>
      <c r="Q137"/>
      <c r="R137"/>
      <c r="S137"/>
      <c r="T137"/>
      <c r="U137"/>
      <c r="V137"/>
      <c r="W137"/>
      <c r="X137"/>
      <c r="Y137"/>
      <c r="Z137"/>
    </row>
    <row r="138" spans="13:26">
      <c r="M138"/>
      <c r="N138"/>
      <c r="O138"/>
      <c r="P138"/>
      <c r="Q138"/>
      <c r="R138"/>
      <c r="S138"/>
      <c r="T138"/>
      <c r="U138"/>
      <c r="V138"/>
      <c r="W138"/>
      <c r="X138"/>
      <c r="Y138"/>
      <c r="Z138"/>
    </row>
    <row r="139" spans="13:26">
      <c r="M139"/>
      <c r="N139"/>
      <c r="O139"/>
      <c r="P139"/>
      <c r="Q139"/>
      <c r="R139"/>
      <c r="S139"/>
      <c r="T139"/>
      <c r="U139"/>
      <c r="V139"/>
      <c r="W139"/>
      <c r="X139"/>
      <c r="Y139"/>
      <c r="Z139"/>
    </row>
    <row r="140" spans="13:26">
      <c r="M140"/>
      <c r="N140"/>
      <c r="O140"/>
      <c r="P140"/>
      <c r="Q140"/>
      <c r="R140"/>
      <c r="S140"/>
      <c r="T140"/>
      <c r="U140"/>
      <c r="V140"/>
      <c r="W140"/>
      <c r="X140"/>
      <c r="Y140"/>
      <c r="Z140"/>
    </row>
    <row r="141" spans="13:26">
      <c r="M141"/>
      <c r="N141"/>
      <c r="O141"/>
      <c r="P141"/>
      <c r="Q141"/>
      <c r="R141"/>
      <c r="S141"/>
      <c r="T141"/>
      <c r="U141"/>
      <c r="V141"/>
      <c r="W141"/>
      <c r="X141"/>
      <c r="Y141"/>
      <c r="Z141"/>
    </row>
    <row r="142" spans="13:26">
      <c r="M142"/>
      <c r="N142"/>
      <c r="O142"/>
      <c r="P142"/>
      <c r="Q142"/>
      <c r="R142"/>
      <c r="S142"/>
      <c r="T142"/>
      <c r="U142"/>
      <c r="V142"/>
      <c r="W142"/>
      <c r="X142"/>
      <c r="Y142"/>
      <c r="Z142"/>
    </row>
    <row r="143" spans="13:26">
      <c r="M143"/>
      <c r="N143"/>
      <c r="O143"/>
      <c r="P143"/>
      <c r="Q143"/>
      <c r="R143"/>
      <c r="S143"/>
      <c r="T143"/>
      <c r="U143"/>
      <c r="V143"/>
      <c r="W143"/>
      <c r="X143"/>
      <c r="Y143"/>
      <c r="Z143"/>
    </row>
    <row r="144" spans="13:26">
      <c r="M144"/>
      <c r="N144"/>
      <c r="O144"/>
      <c r="P144"/>
      <c r="Q144"/>
      <c r="R144"/>
      <c r="S144"/>
      <c r="T144"/>
      <c r="U144"/>
      <c r="V144"/>
      <c r="W144"/>
      <c r="X144"/>
      <c r="Y144"/>
      <c r="Z144"/>
    </row>
    <row r="145" spans="1:26">
      <c r="M145"/>
      <c r="N145"/>
      <c r="O145"/>
      <c r="P145"/>
      <c r="Q145"/>
      <c r="R145"/>
      <c r="S145"/>
      <c r="T145"/>
      <c r="U145"/>
      <c r="V145"/>
      <c r="W145"/>
      <c r="X145"/>
      <c r="Y145"/>
      <c r="Z145"/>
    </row>
    <row r="146" spans="1:26">
      <c r="M146"/>
      <c r="N146"/>
      <c r="O146"/>
      <c r="P146"/>
      <c r="Q146"/>
      <c r="R146"/>
      <c r="S146"/>
      <c r="T146"/>
      <c r="U146"/>
      <c r="V146"/>
      <c r="W146"/>
      <c r="X146"/>
      <c r="Y146"/>
      <c r="Z146"/>
    </row>
    <row r="153" spans="1:26">
      <c r="A153"/>
      <c r="B153"/>
      <c r="C153"/>
      <c r="D153"/>
      <c r="E153"/>
      <c r="F153"/>
      <c r="G153"/>
      <c r="H153"/>
      <c r="I153"/>
      <c r="J153"/>
      <c r="K153"/>
      <c r="L153"/>
    </row>
    <row r="154" spans="1:26">
      <c r="A154"/>
      <c r="B154"/>
      <c r="C154"/>
      <c r="D154"/>
      <c r="E154"/>
      <c r="F154"/>
      <c r="G154"/>
      <c r="H154"/>
      <c r="I154"/>
      <c r="J154"/>
      <c r="K154"/>
      <c r="L154"/>
    </row>
    <row r="155" spans="1:26">
      <c r="A155"/>
      <c r="B155"/>
      <c r="C155"/>
      <c r="D155"/>
      <c r="E155"/>
      <c r="F155"/>
      <c r="G155"/>
      <c r="H155"/>
      <c r="I155"/>
      <c r="J155"/>
      <c r="K155"/>
      <c r="L155"/>
    </row>
    <row r="156" spans="1:26">
      <c r="A156"/>
      <c r="B156"/>
      <c r="C156"/>
      <c r="D156"/>
      <c r="E156"/>
      <c r="F156"/>
      <c r="G156"/>
      <c r="H156"/>
      <c r="I156"/>
      <c r="J156"/>
      <c r="K156"/>
      <c r="L156"/>
    </row>
    <row r="157" spans="1:26">
      <c r="A157"/>
      <c r="B157"/>
      <c r="C157"/>
      <c r="D157"/>
      <c r="E157"/>
      <c r="F157"/>
      <c r="G157"/>
      <c r="H157"/>
      <c r="I157"/>
      <c r="J157"/>
      <c r="K157"/>
      <c r="L157"/>
    </row>
    <row r="158" spans="1:26">
      <c r="A158"/>
      <c r="B158"/>
      <c r="C158"/>
      <c r="D158"/>
      <c r="E158"/>
      <c r="F158"/>
      <c r="G158"/>
      <c r="H158"/>
      <c r="I158"/>
      <c r="J158"/>
      <c r="K158"/>
      <c r="L158"/>
    </row>
    <row r="159" spans="1:26">
      <c r="A159"/>
      <c r="B159"/>
      <c r="C159"/>
      <c r="D159"/>
      <c r="E159"/>
      <c r="F159"/>
      <c r="G159"/>
      <c r="H159"/>
      <c r="I159"/>
      <c r="J159"/>
      <c r="K159"/>
      <c r="L159"/>
    </row>
    <row r="160" spans="1:26">
      <c r="A160"/>
      <c r="B160"/>
      <c r="C160"/>
      <c r="D160"/>
      <c r="E160"/>
      <c r="F160"/>
      <c r="G160"/>
      <c r="H160"/>
      <c r="I160"/>
      <c r="J160"/>
      <c r="K160"/>
      <c r="L160"/>
    </row>
    <row r="161" spans="1:12">
      <c r="A161"/>
      <c r="B161"/>
      <c r="C161"/>
      <c r="D161"/>
      <c r="E161"/>
      <c r="F161"/>
      <c r="G161"/>
      <c r="H161"/>
      <c r="I161"/>
      <c r="J161"/>
      <c r="K161"/>
      <c r="L161"/>
    </row>
    <row r="162" spans="1:12">
      <c r="A162"/>
      <c r="B162"/>
      <c r="C162"/>
      <c r="D162"/>
      <c r="E162"/>
      <c r="F162"/>
      <c r="G162"/>
      <c r="H162"/>
      <c r="I162"/>
      <c r="J162"/>
      <c r="K162"/>
      <c r="L162"/>
    </row>
    <row r="163" spans="1:12">
      <c r="A163"/>
      <c r="B163"/>
      <c r="C163"/>
      <c r="D163"/>
      <c r="E163"/>
      <c r="F163"/>
      <c r="G163"/>
      <c r="H163"/>
      <c r="I163"/>
    </row>
    <row r="164" spans="1:12">
      <c r="A164"/>
      <c r="B164"/>
      <c r="C164"/>
      <c r="D164"/>
      <c r="E164"/>
      <c r="F164"/>
      <c r="G164"/>
      <c r="H164"/>
      <c r="I164"/>
    </row>
    <row r="165" spans="1:12">
      <c r="A165"/>
      <c r="B165"/>
      <c r="C165"/>
      <c r="D165"/>
      <c r="E165"/>
      <c r="F165"/>
      <c r="G165"/>
      <c r="H165"/>
      <c r="I165"/>
    </row>
    <row r="166" spans="1:12">
      <c r="A166"/>
      <c r="B166"/>
      <c r="C166"/>
      <c r="D166"/>
      <c r="E166"/>
      <c r="F166"/>
      <c r="G166"/>
      <c r="H166"/>
      <c r="I166"/>
    </row>
    <row r="167" spans="1:12">
      <c r="A167"/>
      <c r="B167"/>
      <c r="C167"/>
      <c r="D167"/>
      <c r="E167"/>
      <c r="F167"/>
      <c r="G167"/>
      <c r="H167"/>
      <c r="I167"/>
    </row>
    <row r="168" spans="1:12">
      <c r="A168"/>
      <c r="B168"/>
      <c r="C168"/>
      <c r="D168"/>
      <c r="E168"/>
      <c r="F168"/>
      <c r="G168"/>
      <c r="H168"/>
      <c r="I168"/>
    </row>
    <row r="169" spans="1:12">
      <c r="A169"/>
      <c r="B169"/>
      <c r="C169"/>
      <c r="D169"/>
      <c r="E169"/>
      <c r="F169"/>
      <c r="G169"/>
      <c r="H169"/>
      <c r="I169"/>
    </row>
    <row r="170" spans="1:12">
      <c r="A170"/>
      <c r="B170"/>
      <c r="C170"/>
      <c r="D170"/>
      <c r="E170"/>
      <c r="F170"/>
      <c r="G170"/>
      <c r="H170"/>
      <c r="I170"/>
    </row>
    <row r="171" spans="1:12">
      <c r="A171"/>
      <c r="B171"/>
      <c r="C171"/>
      <c r="D171"/>
      <c r="E171"/>
      <c r="F171"/>
      <c r="G171"/>
      <c r="H171"/>
      <c r="I171"/>
    </row>
    <row r="172" spans="1:12">
      <c r="A172"/>
      <c r="B172"/>
      <c r="C172"/>
      <c r="D172"/>
      <c r="E172"/>
      <c r="F172"/>
      <c r="G172"/>
      <c r="H172"/>
      <c r="I172"/>
    </row>
    <row r="173" spans="1:12">
      <c r="A173"/>
      <c r="B173"/>
      <c r="C173"/>
      <c r="D173"/>
      <c r="E173"/>
      <c r="F173"/>
      <c r="G173"/>
      <c r="H173"/>
      <c r="I173"/>
    </row>
    <row r="174" spans="1:12">
      <c r="A174"/>
      <c r="B174"/>
      <c r="C174"/>
      <c r="D174"/>
      <c r="E174"/>
      <c r="F174"/>
      <c r="G174"/>
      <c r="H174"/>
      <c r="I174"/>
    </row>
    <row r="175" spans="1:12">
      <c r="A175"/>
      <c r="B175"/>
      <c r="C175"/>
      <c r="D175"/>
      <c r="E175"/>
      <c r="F175"/>
      <c r="G175"/>
      <c r="H175"/>
      <c r="I175"/>
    </row>
    <row r="176" spans="1:12">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199" spans="1:9">
      <c r="A199"/>
      <c r="B199"/>
      <c r="C199"/>
      <c r="D199"/>
      <c r="E199"/>
      <c r="F199"/>
      <c r="G199"/>
      <c r="H199"/>
      <c r="I199"/>
    </row>
  </sheetData>
  <pageMargins left="0.7" right="0.7" top="0.75" bottom="0.75" header="0.3" footer="0.3"/>
  <pageSetup orientation="portrait" horizontalDpi="0"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1C705-BC5E-4A99-B221-D559B1A7C91A}">
  <dimension ref="A1:M55"/>
  <sheetViews>
    <sheetView topLeftCell="A39" zoomScaleNormal="100" workbookViewId="0">
      <selection activeCell="B38" sqref="B38"/>
    </sheetView>
  </sheetViews>
  <sheetFormatPr defaultColWidth="8.88671875" defaultRowHeight="15.6"/>
  <cols>
    <col min="1" max="1" width="10.33203125" style="1" customWidth="1"/>
    <col min="2" max="4" width="15.33203125" style="1" customWidth="1"/>
    <col min="5" max="5" width="14.33203125" style="1" customWidth="1"/>
    <col min="6" max="6" width="14.5546875" style="1" customWidth="1"/>
    <col min="7" max="7" width="19" style="1" customWidth="1"/>
    <col min="8" max="12" width="14.5546875" style="1" customWidth="1"/>
    <col min="13" max="13" width="10.44140625" style="1" customWidth="1"/>
    <col min="14" max="14" width="8.33203125" style="1" customWidth="1"/>
    <col min="15" max="15" width="8.88671875" style="1"/>
    <col min="16" max="16" width="18.33203125" style="1" bestFit="1" customWidth="1"/>
    <col min="17" max="17" width="10.33203125" style="1" customWidth="1"/>
    <col min="18" max="18" width="10.5546875" style="1" customWidth="1"/>
    <col min="19" max="16384" width="8.88671875" style="1"/>
  </cols>
  <sheetData>
    <row r="1" spans="1:13" ht="18">
      <c r="A1" s="23" t="s">
        <v>1343</v>
      </c>
      <c r="B1" s="22"/>
      <c r="C1" s="5" t="s">
        <v>38</v>
      </c>
      <c r="D1" s="22"/>
      <c r="E1" s="22"/>
      <c r="F1" s="22"/>
      <c r="G1" s="22"/>
      <c r="H1" s="22"/>
      <c r="I1" s="22"/>
      <c r="J1" s="22"/>
      <c r="K1" s="2"/>
      <c r="L1" s="2"/>
      <c r="M1" s="2"/>
    </row>
    <row r="2" spans="1:13" ht="16.2">
      <c r="A2" s="21"/>
      <c r="B2" s="3"/>
      <c r="C2" s="3"/>
      <c r="D2" s="3"/>
      <c r="E2" s="3"/>
      <c r="F2" s="3"/>
      <c r="G2" s="3"/>
      <c r="H2" s="19"/>
      <c r="I2" s="19"/>
      <c r="J2" s="4"/>
      <c r="K2" s="4"/>
      <c r="L2" s="4"/>
      <c r="M2" s="4"/>
    </row>
    <row r="3" spans="1:13" ht="31.2" customHeight="1">
      <c r="A3" s="1733" t="s">
        <v>2362</v>
      </c>
      <c r="B3" s="1733"/>
      <c r="C3" s="1733"/>
      <c r="D3" s="1733"/>
      <c r="E3" s="1733"/>
      <c r="F3" s="1733"/>
      <c r="G3" s="1733"/>
      <c r="H3" s="1733"/>
      <c r="I3" s="1733"/>
      <c r="J3" s="1733"/>
      <c r="K3" s="1733"/>
      <c r="L3" s="2"/>
      <c r="M3" s="2"/>
    </row>
    <row r="4" spans="1:13">
      <c r="A4" s="2"/>
      <c r="B4" s="163"/>
      <c r="C4" s="746"/>
      <c r="D4" s="3"/>
      <c r="E4" s="3"/>
      <c r="F4" s="3"/>
      <c r="G4" s="3"/>
      <c r="H4" s="3"/>
      <c r="I4" s="2"/>
      <c r="J4" s="2"/>
      <c r="K4" s="2"/>
      <c r="L4" s="2"/>
      <c r="M4" s="2"/>
    </row>
    <row r="5" spans="1:13" ht="31.2">
      <c r="A5" s="2"/>
      <c r="B5" s="134" t="s">
        <v>2181</v>
      </c>
      <c r="C5" s="134" t="s">
        <v>1952</v>
      </c>
      <c r="D5" s="3"/>
      <c r="E5" s="3"/>
      <c r="F5" s="3"/>
      <c r="G5" s="3"/>
      <c r="H5" s="3"/>
      <c r="I5" s="2"/>
      <c r="J5" s="2"/>
      <c r="K5" s="2"/>
      <c r="L5" s="2"/>
      <c r="M5" s="2"/>
    </row>
    <row r="6" spans="1:13">
      <c r="A6" s="2"/>
      <c r="B6" s="133">
        <v>1</v>
      </c>
      <c r="C6" s="133">
        <v>0.4</v>
      </c>
      <c r="D6" s="3"/>
      <c r="E6" s="3"/>
      <c r="F6" s="3"/>
      <c r="G6" s="3"/>
      <c r="H6" s="3"/>
      <c r="I6" s="2"/>
      <c r="J6" s="2"/>
      <c r="K6" s="2"/>
      <c r="L6" s="2"/>
      <c r="M6" s="2"/>
    </row>
    <row r="7" spans="1:13">
      <c r="A7" s="2"/>
      <c r="B7" s="133">
        <v>2</v>
      </c>
      <c r="C7" s="133">
        <v>0.3</v>
      </c>
      <c r="D7" s="3"/>
      <c r="E7" s="3"/>
      <c r="F7" s="3"/>
      <c r="G7" s="3"/>
      <c r="H7" s="3"/>
      <c r="I7" s="2"/>
      <c r="J7" s="2"/>
      <c r="K7" s="2"/>
      <c r="L7" s="2"/>
      <c r="M7" s="2"/>
    </row>
    <row r="8" spans="1:13">
      <c r="A8" s="2"/>
      <c r="B8" s="133">
        <v>3</v>
      </c>
      <c r="C8" s="133">
        <v>0.2</v>
      </c>
      <c r="D8" s="3"/>
      <c r="E8" s="3"/>
      <c r="F8" s="3"/>
      <c r="G8" s="3"/>
      <c r="H8" s="3"/>
      <c r="I8" s="2"/>
      <c r="J8" s="2"/>
      <c r="K8" s="2"/>
      <c r="L8" s="2"/>
      <c r="M8" s="2"/>
    </row>
    <row r="9" spans="1:13">
      <c r="A9" s="2"/>
      <c r="B9" s="133">
        <v>4</v>
      </c>
      <c r="C9" s="133">
        <v>0.1</v>
      </c>
      <c r="D9" s="3"/>
      <c r="E9" s="3"/>
      <c r="F9" s="3"/>
      <c r="G9" s="3"/>
      <c r="H9" s="3"/>
      <c r="I9" s="2"/>
      <c r="J9" s="2"/>
      <c r="K9" s="2"/>
      <c r="L9" s="2"/>
      <c r="M9" s="2"/>
    </row>
    <row r="10" spans="1:13">
      <c r="A10" s="2"/>
      <c r="B10" s="163"/>
      <c r="C10" s="746"/>
      <c r="D10" s="3"/>
      <c r="E10" s="3"/>
      <c r="F10" s="3"/>
      <c r="G10" s="3"/>
      <c r="H10" s="3"/>
      <c r="I10" s="2"/>
      <c r="J10" s="2"/>
      <c r="K10" s="2"/>
      <c r="L10" s="2"/>
      <c r="M10" s="2"/>
    </row>
    <row r="11" spans="1:13">
      <c r="A11" s="3" t="s">
        <v>1955</v>
      </c>
      <c r="B11" s="163"/>
      <c r="C11" s="746"/>
      <c r="D11" s="3"/>
      <c r="E11" s="3"/>
      <c r="F11" s="3"/>
      <c r="G11" s="3"/>
      <c r="H11" s="3"/>
      <c r="I11" s="2"/>
      <c r="J11" s="2"/>
      <c r="K11" s="2"/>
      <c r="L11" s="2"/>
      <c r="M11" s="2"/>
    </row>
    <row r="12" spans="1:13">
      <c r="A12" s="3"/>
      <c r="B12" s="163"/>
      <c r="C12" s="746"/>
      <c r="D12" s="3"/>
      <c r="E12" s="3"/>
      <c r="F12" s="3"/>
      <c r="G12" s="3"/>
      <c r="H12" s="3"/>
      <c r="I12" s="2"/>
      <c r="J12" s="2"/>
      <c r="K12" s="2"/>
      <c r="L12" s="2"/>
      <c r="M12" s="2"/>
    </row>
    <row r="13" spans="1:13">
      <c r="A13" s="3" t="s">
        <v>80</v>
      </c>
      <c r="B13" s="3" t="s">
        <v>2361</v>
      </c>
      <c r="C13" s="3"/>
      <c r="D13" s="3"/>
      <c r="E13" s="3"/>
      <c r="F13" s="3"/>
      <c r="G13" s="3"/>
      <c r="H13" s="3"/>
      <c r="I13" s="2"/>
      <c r="J13" s="2"/>
      <c r="K13" s="2"/>
      <c r="L13" s="2"/>
      <c r="M13" s="2"/>
    </row>
    <row r="14" spans="1:13" ht="16.2">
      <c r="A14" s="3"/>
      <c r="B14" s="5" t="s">
        <v>64</v>
      </c>
      <c r="C14" s="44"/>
      <c r="D14" s="44"/>
      <c r="E14" s="44"/>
      <c r="F14" s="44"/>
      <c r="G14" s="44"/>
      <c r="H14" s="44"/>
      <c r="I14" s="44"/>
      <c r="J14" s="44"/>
      <c r="K14" s="44"/>
      <c r="L14" s="44"/>
      <c r="M14" s="2"/>
    </row>
    <row r="15" spans="1:13">
      <c r="B15" s="1" t="s">
        <v>2360</v>
      </c>
    </row>
    <row r="16" spans="1:13">
      <c r="B16" s="1" t="s">
        <v>2359</v>
      </c>
    </row>
    <row r="18" spans="1:13">
      <c r="B18" s="277" t="s">
        <v>35</v>
      </c>
      <c r="C18" s="277" t="s">
        <v>2056</v>
      </c>
      <c r="D18" s="277" t="s">
        <v>2358</v>
      </c>
      <c r="E18" s="277" t="s">
        <v>2357</v>
      </c>
    </row>
    <row r="19" spans="1:13">
      <c r="B19" s="277">
        <f t="shared" ref="B19:C22" si="0">B6</f>
        <v>1</v>
      </c>
      <c r="C19" s="277">
        <f t="shared" si="0"/>
        <v>0.4</v>
      </c>
      <c r="D19" s="277">
        <f>C19*B19</f>
        <v>0.4</v>
      </c>
      <c r="E19" s="277">
        <f>C19*B19^2</f>
        <v>0.4</v>
      </c>
    </row>
    <row r="20" spans="1:13">
      <c r="B20" s="277">
        <f t="shared" si="0"/>
        <v>2</v>
      </c>
      <c r="C20" s="277">
        <f t="shared" si="0"/>
        <v>0.3</v>
      </c>
      <c r="D20" s="277">
        <f>C20*B20</f>
        <v>0.6</v>
      </c>
      <c r="E20" s="277">
        <f>C20*B20^2</f>
        <v>1.2</v>
      </c>
    </row>
    <row r="21" spans="1:13">
      <c r="B21" s="277">
        <f t="shared" si="0"/>
        <v>3</v>
      </c>
      <c r="C21" s="277">
        <f t="shared" si="0"/>
        <v>0.2</v>
      </c>
      <c r="D21" s="277">
        <f>C21*B21</f>
        <v>0.60000000000000009</v>
      </c>
      <c r="E21" s="277">
        <f>C21*B21^2</f>
        <v>1.8</v>
      </c>
    </row>
    <row r="22" spans="1:13">
      <c r="B22" s="277">
        <f t="shared" si="0"/>
        <v>4</v>
      </c>
      <c r="C22" s="277">
        <f t="shared" si="0"/>
        <v>0.1</v>
      </c>
      <c r="D22" s="277">
        <f>C22*B22</f>
        <v>0.4</v>
      </c>
      <c r="E22" s="277">
        <f>C22*B22^2</f>
        <v>1.6</v>
      </c>
    </row>
    <row r="23" spans="1:13">
      <c r="B23" s="277" t="s">
        <v>98</v>
      </c>
      <c r="C23" s="1378">
        <f>SUM(C19:C22)</f>
        <v>0.99999999999999989</v>
      </c>
      <c r="D23" s="1378">
        <f>SUM(D19:D22)</f>
        <v>2</v>
      </c>
      <c r="E23" s="1378">
        <f>SUM(E19:E22)</f>
        <v>5</v>
      </c>
    </row>
    <row r="24" spans="1:13">
      <c r="B24" s="277"/>
      <c r="C24" s="1378"/>
      <c r="D24" s="1378"/>
      <c r="E24" s="1378"/>
    </row>
    <row r="25" spans="1:13">
      <c r="B25" s="1107" t="s">
        <v>2356</v>
      </c>
      <c r="C25" s="950">
        <v>1</v>
      </c>
      <c r="D25" s="1378"/>
      <c r="E25" s="1378"/>
    </row>
    <row r="26" spans="1:13">
      <c r="B26" s="1107"/>
      <c r="C26" s="950"/>
      <c r="D26" s="1378"/>
      <c r="E26" s="1378"/>
    </row>
    <row r="27" spans="1:13">
      <c r="B27" s="275" t="s">
        <v>2355</v>
      </c>
      <c r="C27" s="1359" t="s">
        <v>1986</v>
      </c>
      <c r="D27" s="1377">
        <f>C25*D23</f>
        <v>2</v>
      </c>
      <c r="E27" s="972"/>
    </row>
    <row r="28" spans="1:13">
      <c r="B28" s="275"/>
      <c r="C28" s="1359" t="s">
        <v>252</v>
      </c>
      <c r="D28" s="1377">
        <f>(E23*C25)^0.5/D27</f>
        <v>1.1180339887498949</v>
      </c>
    </row>
    <row r="30" spans="1:13">
      <c r="A30" s="3" t="s">
        <v>9</v>
      </c>
      <c r="B30" s="3" t="s">
        <v>2179</v>
      </c>
      <c r="C30" s="3"/>
      <c r="D30" s="3"/>
      <c r="E30" s="3"/>
      <c r="F30" s="3"/>
      <c r="G30" s="3"/>
      <c r="H30" s="3"/>
      <c r="I30" s="2"/>
      <c r="J30" s="2"/>
      <c r="K30" s="2"/>
      <c r="L30" s="2"/>
      <c r="M30" s="2"/>
    </row>
    <row r="31" spans="1:13" ht="16.2">
      <c r="A31" s="5"/>
      <c r="B31" s="200" t="s">
        <v>1021</v>
      </c>
      <c r="C31" s="200"/>
      <c r="D31" s="199"/>
      <c r="E31" s="199"/>
      <c r="F31" s="198"/>
      <c r="G31" s="198"/>
      <c r="H31" s="2"/>
      <c r="I31" s="2"/>
      <c r="J31" s="2"/>
      <c r="K31" s="2"/>
      <c r="L31" s="2"/>
      <c r="M31" s="2"/>
    </row>
    <row r="32" spans="1:13">
      <c r="A32" s="187"/>
    </row>
    <row r="33" spans="2:5" ht="46.8">
      <c r="B33" s="1376" t="s">
        <v>2354</v>
      </c>
      <c r="C33" s="1376" t="s">
        <v>1952</v>
      </c>
    </row>
    <row r="34" spans="2:5">
      <c r="B34" s="1376"/>
      <c r="C34" s="1376"/>
    </row>
    <row r="35" spans="2:5">
      <c r="B35" s="1376"/>
      <c r="C35" s="1376"/>
    </row>
    <row r="36" spans="2:5">
      <c r="B36" s="1376"/>
      <c r="C36" s="1376"/>
    </row>
    <row r="37" spans="2:5">
      <c r="B37" s="1375">
        <v>0</v>
      </c>
      <c r="C37" s="1374">
        <f>($C$25^B37)*EXP(-$C$25)/FACT(B37)</f>
        <v>0.36787944117144233</v>
      </c>
      <c r="E37" s="478"/>
    </row>
    <row r="38" spans="2:5">
      <c r="B38" s="1375">
        <v>1</v>
      </c>
      <c r="C38" s="1374">
        <f t="shared" ref="C38:C47" si="1">$C$25/B38*(C37*$C$19+2*C36*$C$20+3*C35*$C$21+4*C34*$C$22)</f>
        <v>0.14715177646857694</v>
      </c>
    </row>
    <row r="39" spans="2:5">
      <c r="B39" s="1375">
        <v>2</v>
      </c>
      <c r="C39" s="1374">
        <f t="shared" si="1"/>
        <v>0.13979418764514809</v>
      </c>
    </row>
    <row r="40" spans="2:5">
      <c r="B40" s="1375">
        <v>3</v>
      </c>
      <c r="C40" s="1374">
        <f t="shared" si="1"/>
        <v>0.12164546854735693</v>
      </c>
    </row>
    <row r="41" spans="2:5">
      <c r="B41" s="1375">
        <v>4</v>
      </c>
      <c r="C41" s="1374">
        <f t="shared" si="1"/>
        <v>9.1994385588938687E-2</v>
      </c>
    </row>
    <row r="42" spans="2:5">
      <c r="B42" s="1375">
        <v>5</v>
      </c>
      <c r="C42" s="1374">
        <f t="shared" si="1"/>
        <v>5.0504451707701861E-2</v>
      </c>
    </row>
    <row r="43" spans="2:5">
      <c r="B43" s="1375">
        <v>6</v>
      </c>
      <c r="C43" s="1374">
        <f t="shared" si="1"/>
        <v>3.4050561370486218E-2</v>
      </c>
    </row>
    <row r="44" spans="2:5">
      <c r="B44" s="1375">
        <v>7</v>
      </c>
      <c r="C44" s="1374">
        <f t="shared" si="1"/>
        <v>2.1111102049303086E-2</v>
      </c>
    </row>
    <row r="45" spans="2:5">
      <c r="B45" s="1375">
        <v>8</v>
      </c>
      <c r="C45" s="1374">
        <f t="shared" si="1"/>
        <v>1.1996900362776196E-2</v>
      </c>
    </row>
    <row r="46" spans="2:5">
      <c r="B46" s="1375">
        <v>9</v>
      </c>
      <c r="C46" s="1374">
        <f t="shared" si="1"/>
        <v>6.4552820977849777E-3</v>
      </c>
    </row>
    <row r="47" spans="2:5">
      <c r="B47" s="1375">
        <v>10</v>
      </c>
      <c r="C47" s="1374">
        <f t="shared" si="1"/>
        <v>3.6067138834556048E-3</v>
      </c>
    </row>
    <row r="49" spans="1:13">
      <c r="A49" s="3" t="s">
        <v>2353</v>
      </c>
      <c r="B49" s="3"/>
      <c r="C49" s="3"/>
      <c r="D49" s="3"/>
      <c r="E49" s="3"/>
      <c r="F49" s="3"/>
      <c r="G49" s="3"/>
      <c r="H49" s="3"/>
      <c r="I49" s="3"/>
      <c r="J49" s="2"/>
      <c r="K49" s="3"/>
      <c r="L49" s="2"/>
      <c r="M49" s="169"/>
    </row>
    <row r="50" spans="1:13">
      <c r="A50" s="3"/>
      <c r="B50" s="3"/>
      <c r="C50" s="3"/>
      <c r="D50" s="3"/>
      <c r="E50" s="3"/>
      <c r="F50" s="3"/>
      <c r="G50" s="3"/>
      <c r="H50" s="3"/>
      <c r="I50" s="3"/>
      <c r="J50" s="2"/>
      <c r="K50" s="3"/>
      <c r="L50" s="2"/>
      <c r="M50" s="169"/>
    </row>
    <row r="51" spans="1:13" ht="18" customHeight="1">
      <c r="A51" s="21" t="s">
        <v>7</v>
      </c>
      <c r="B51" s="1733" t="s">
        <v>2352</v>
      </c>
      <c r="C51" s="1733"/>
      <c r="D51" s="1733"/>
      <c r="E51" s="1733"/>
      <c r="F51" s="1733"/>
      <c r="G51" s="1733"/>
      <c r="H51" s="1733"/>
      <c r="I51" s="1733"/>
      <c r="J51" s="1733"/>
      <c r="K51" s="1733"/>
      <c r="L51" s="1733"/>
      <c r="M51" s="1733"/>
    </row>
    <row r="52" spans="1:13" ht="16.2">
      <c r="A52" s="5"/>
      <c r="B52" s="5" t="s">
        <v>64</v>
      </c>
      <c r="C52" s="5"/>
      <c r="D52" s="4"/>
      <c r="E52" s="4"/>
      <c r="F52" s="4"/>
      <c r="G52" s="4"/>
      <c r="H52" s="3"/>
      <c r="I52" s="3"/>
      <c r="J52" s="2"/>
      <c r="K52" s="2"/>
      <c r="L52" s="3"/>
      <c r="M52" s="2"/>
    </row>
    <row r="54" spans="1:13" ht="17.399999999999999">
      <c r="B54" s="1373" t="s">
        <v>2351</v>
      </c>
      <c r="C54" s="1372">
        <f>LN(D28^2+1)</f>
        <v>0.81093021621632877</v>
      </c>
      <c r="D54" s="1369"/>
      <c r="E54" s="1369"/>
      <c r="F54" s="1369"/>
      <c r="G54" s="1369"/>
      <c r="H54" s="1369"/>
      <c r="I54" s="1369"/>
      <c r="J54" s="1369"/>
      <c r="K54" s="1369"/>
      <c r="L54" s="1369"/>
      <c r="M54" s="1369"/>
    </row>
    <row r="55" spans="1:13" ht="15.6" customHeight="1">
      <c r="B55" s="1371" t="s">
        <v>1490</v>
      </c>
      <c r="C55" s="1370">
        <f>LN(D27)-C54/2</f>
        <v>0.2876820724517809</v>
      </c>
      <c r="D55" s="1369"/>
      <c r="E55" s="1369"/>
      <c r="F55" s="1369"/>
      <c r="G55" s="1369"/>
      <c r="H55" s="1369"/>
      <c r="I55" s="1369"/>
      <c r="J55" s="1369"/>
      <c r="K55" s="1369"/>
      <c r="L55" s="1369"/>
      <c r="M55" s="1369"/>
    </row>
  </sheetData>
  <mergeCells count="2">
    <mergeCell ref="A3:K3"/>
    <mergeCell ref="B51:M51"/>
  </mergeCells>
  <pageMargins left="0.7" right="0.7" top="0.75" bottom="0.75" header="0.3" footer="0.3"/>
  <pageSetup orientation="portrait" horizontalDpi="0"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E463A-13F3-4FEF-A930-C407E22642EC}">
  <dimension ref="A1:Q94"/>
  <sheetViews>
    <sheetView workbookViewId="0">
      <selection activeCell="B38" sqref="B38"/>
    </sheetView>
  </sheetViews>
  <sheetFormatPr defaultColWidth="8.88671875" defaultRowHeight="13.8"/>
  <cols>
    <col min="1" max="1" width="8.88671875" style="57"/>
    <col min="2" max="3" width="12.6640625" style="57" customWidth="1"/>
    <col min="4" max="11" width="11.6640625" style="57" customWidth="1"/>
    <col min="12" max="12" width="9.6640625" style="57" customWidth="1"/>
    <col min="13" max="13" width="11.6640625" style="57" customWidth="1"/>
    <col min="14" max="16384" width="8.88671875" style="57"/>
  </cols>
  <sheetData>
    <row r="1" spans="1:13" ht="18">
      <c r="A1" s="23" t="s">
        <v>1472</v>
      </c>
      <c r="B1" s="22"/>
      <c r="C1" s="342" t="s">
        <v>38</v>
      </c>
      <c r="D1" s="22"/>
      <c r="E1" s="22"/>
      <c r="F1" s="22"/>
      <c r="G1" s="22"/>
      <c r="H1" s="22"/>
      <c r="I1" s="22"/>
      <c r="J1" s="22"/>
      <c r="K1" s="22"/>
      <c r="L1" s="22"/>
      <c r="M1" s="22"/>
    </row>
    <row r="2" spans="1:13" ht="16.2">
      <c r="A2" s="376"/>
      <c r="B2" s="22"/>
      <c r="C2" s="22"/>
      <c r="D2" s="22"/>
      <c r="E2" s="22"/>
      <c r="F2" s="22"/>
      <c r="G2" s="22"/>
      <c r="H2" s="342"/>
      <c r="I2" s="342"/>
      <c r="J2" s="341"/>
      <c r="K2" s="341"/>
      <c r="L2" s="341"/>
      <c r="M2" s="22"/>
    </row>
    <row r="3" spans="1:13" ht="15.6" customHeight="1">
      <c r="A3" s="1692" t="s">
        <v>2408</v>
      </c>
      <c r="B3" s="1692"/>
      <c r="C3" s="1692"/>
      <c r="D3" s="1692"/>
      <c r="E3" s="1692"/>
      <c r="F3" s="1692"/>
      <c r="G3" s="1692"/>
      <c r="H3" s="1692"/>
      <c r="I3" s="1692"/>
      <c r="J3" s="1692"/>
      <c r="K3" s="1692"/>
      <c r="L3" s="1692"/>
      <c r="M3" s="1692"/>
    </row>
    <row r="4" spans="1:13" ht="16.2">
      <c r="A4" s="376"/>
      <c r="B4" s="22"/>
      <c r="C4" s="22"/>
      <c r="D4" s="22"/>
      <c r="E4" s="22"/>
      <c r="F4" s="22"/>
      <c r="G4" s="22"/>
      <c r="H4" s="342"/>
      <c r="I4" s="342"/>
      <c r="J4" s="341"/>
      <c r="K4" s="341"/>
      <c r="L4" s="341"/>
      <c r="M4" s="22"/>
    </row>
    <row r="5" spans="1:13" ht="16.2">
      <c r="A5" s="376" t="s">
        <v>1927</v>
      </c>
      <c r="B5" s="22"/>
      <c r="C5" s="22"/>
      <c r="D5" s="22"/>
      <c r="E5" s="22"/>
      <c r="F5" s="22"/>
      <c r="G5" s="22"/>
      <c r="H5" s="342"/>
      <c r="I5" s="342"/>
      <c r="J5" s="341"/>
      <c r="K5" s="341"/>
      <c r="L5" s="341"/>
      <c r="M5" s="22"/>
    </row>
    <row r="6" spans="1:13" ht="16.2">
      <c r="A6" s="376"/>
      <c r="B6" s="22"/>
      <c r="C6" s="22"/>
      <c r="D6" s="22"/>
      <c r="E6" s="22"/>
      <c r="F6" s="22"/>
      <c r="G6" s="22"/>
      <c r="H6" s="342"/>
      <c r="I6" s="342"/>
      <c r="J6" s="341"/>
      <c r="K6" s="341"/>
      <c r="L6" s="341"/>
      <c r="M6" s="22"/>
    </row>
    <row r="7" spans="1:13" ht="16.2">
      <c r="A7" s="1161" t="s">
        <v>2407</v>
      </c>
      <c r="B7" s="22"/>
      <c r="C7" s="22"/>
      <c r="D7" s="22"/>
      <c r="E7" s="22"/>
      <c r="F7" s="22"/>
      <c r="G7" s="22"/>
      <c r="H7" s="342"/>
      <c r="I7" s="342"/>
      <c r="J7" s="341"/>
      <c r="K7" s="341"/>
      <c r="L7" s="341"/>
      <c r="M7" s="22"/>
    </row>
    <row r="8" spans="1:13" ht="16.2">
      <c r="A8" s="376"/>
      <c r="B8" s="22"/>
      <c r="C8" s="22"/>
      <c r="D8" s="22"/>
      <c r="E8" s="22"/>
      <c r="F8" s="22"/>
      <c r="G8" s="22"/>
      <c r="H8" s="342"/>
      <c r="I8" s="342"/>
      <c r="J8" s="341"/>
      <c r="K8" s="341"/>
      <c r="L8" s="341"/>
      <c r="M8" s="22"/>
    </row>
    <row r="9" spans="1:13" ht="31.2">
      <c r="A9" s="376"/>
      <c r="B9" s="334" t="s">
        <v>2406</v>
      </c>
      <c r="C9" s="334" t="s">
        <v>2405</v>
      </c>
      <c r="D9" s="22"/>
      <c r="E9" s="22"/>
      <c r="F9" s="22"/>
      <c r="G9" s="22"/>
      <c r="H9" s="342"/>
      <c r="I9" s="342"/>
      <c r="J9" s="341"/>
      <c r="K9" s="341"/>
      <c r="L9" s="341"/>
      <c r="M9" s="22"/>
    </row>
    <row r="10" spans="1:13" ht="16.2">
      <c r="A10" s="376"/>
      <c r="B10" s="530">
        <v>1</v>
      </c>
      <c r="C10" s="530">
        <v>5.2600000000000001E-2</v>
      </c>
      <c r="D10" s="22"/>
      <c r="E10" s="22"/>
      <c r="F10" s="22"/>
      <c r="G10" s="22"/>
      <c r="H10" s="342"/>
      <c r="I10" s="342"/>
      <c r="J10" s="341"/>
      <c r="K10" s="341"/>
      <c r="L10" s="341"/>
      <c r="M10" s="22"/>
    </row>
    <row r="11" spans="1:13" ht="16.2">
      <c r="A11" s="376"/>
      <c r="B11" s="530">
        <v>2</v>
      </c>
      <c r="C11" s="530">
        <v>0.21190000000000001</v>
      </c>
      <c r="D11" s="22"/>
      <c r="E11" s="22"/>
      <c r="F11" s="22"/>
      <c r="G11" s="22"/>
      <c r="H11" s="342"/>
      <c r="I11" s="342"/>
      <c r="J11" s="341"/>
      <c r="K11" s="341"/>
      <c r="L11" s="341"/>
      <c r="M11" s="22"/>
    </row>
    <row r="12" spans="1:13" ht="16.2">
      <c r="A12" s="376"/>
      <c r="B12" s="530">
        <v>3</v>
      </c>
      <c r="C12" s="530">
        <v>0.40579999999999999</v>
      </c>
      <c r="D12" s="22"/>
      <c r="E12" s="22"/>
      <c r="F12" s="22"/>
      <c r="G12" s="22"/>
      <c r="H12" s="342"/>
      <c r="I12" s="342"/>
      <c r="J12" s="341"/>
      <c r="K12" s="341"/>
      <c r="L12" s="341"/>
      <c r="M12" s="22"/>
    </row>
    <row r="13" spans="1:13" ht="16.2">
      <c r="A13" s="376"/>
      <c r="B13" s="530">
        <v>4</v>
      </c>
      <c r="C13" s="530">
        <v>0.58150000000000002</v>
      </c>
      <c r="D13" s="22"/>
      <c r="E13" s="22"/>
      <c r="F13" s="22"/>
      <c r="G13" s="22"/>
      <c r="H13" s="342"/>
      <c r="I13" s="342"/>
      <c r="J13" s="341"/>
      <c r="K13" s="341"/>
      <c r="L13" s="341"/>
      <c r="M13" s="22"/>
    </row>
    <row r="14" spans="1:13" ht="16.2">
      <c r="A14" s="376"/>
      <c r="B14" s="530">
        <v>5</v>
      </c>
      <c r="C14" s="530">
        <v>0.71909999999999996</v>
      </c>
      <c r="D14" s="22"/>
      <c r="E14" s="22"/>
      <c r="F14" s="22"/>
      <c r="G14" s="22"/>
      <c r="H14" s="342"/>
      <c r="I14" s="342"/>
      <c r="J14" s="341"/>
      <c r="K14" s="341"/>
      <c r="L14" s="341"/>
      <c r="M14" s="22"/>
    </row>
    <row r="15" spans="1:13" ht="15.6">
      <c r="A15" s="1037"/>
      <c r="B15" s="530">
        <v>6</v>
      </c>
      <c r="C15" s="530">
        <v>0.81820000000000004</v>
      </c>
      <c r="D15" s="1037"/>
      <c r="E15" s="1037"/>
      <c r="F15" s="1037"/>
      <c r="G15" s="1037"/>
      <c r="H15" s="1037"/>
      <c r="I15" s="1037"/>
      <c r="J15" s="1037"/>
      <c r="K15" s="1037"/>
      <c r="L15" s="1037"/>
      <c r="M15" s="1037"/>
    </row>
    <row r="16" spans="1:13" ht="15.6">
      <c r="A16" s="1037"/>
      <c r="B16" s="530">
        <v>7</v>
      </c>
      <c r="C16" s="530">
        <v>0.88549999999999995</v>
      </c>
      <c r="D16" s="1037"/>
      <c r="E16" s="1037"/>
      <c r="F16" s="1037"/>
      <c r="G16" s="1037"/>
      <c r="H16" s="1037"/>
      <c r="I16" s="1037"/>
      <c r="J16" s="1037"/>
      <c r="K16" s="1037"/>
      <c r="L16" s="1037"/>
      <c r="M16" s="1037"/>
    </row>
    <row r="17" spans="1:13" ht="15.6">
      <c r="A17" s="1037"/>
      <c r="B17" s="530">
        <v>8</v>
      </c>
      <c r="C17" s="530">
        <v>0.92949999999999999</v>
      </c>
      <c r="D17" s="1037"/>
      <c r="E17" s="1037"/>
      <c r="F17" s="1037"/>
      <c r="G17" s="1037"/>
      <c r="H17" s="1037"/>
      <c r="I17" s="1037"/>
      <c r="J17" s="1037"/>
      <c r="K17" s="1037"/>
      <c r="L17" s="1037"/>
      <c r="M17" s="1037"/>
    </row>
    <row r="18" spans="1:13" ht="15.6">
      <c r="A18" s="1037"/>
      <c r="B18" s="530">
        <v>9</v>
      </c>
      <c r="C18" s="530">
        <v>0.95730000000000004</v>
      </c>
      <c r="D18" s="1037"/>
      <c r="E18" s="1037"/>
      <c r="F18" s="1037"/>
      <c r="G18" s="1037"/>
      <c r="H18" s="1037"/>
      <c r="I18" s="1037"/>
      <c r="J18" s="1037"/>
      <c r="K18" s="1037"/>
      <c r="L18" s="1037"/>
      <c r="M18" s="1037"/>
    </row>
    <row r="19" spans="1:13" ht="15.6">
      <c r="A19" s="1037"/>
      <c r="B19" s="530">
        <v>10</v>
      </c>
      <c r="C19" s="530">
        <v>0.97460000000000002</v>
      </c>
      <c r="D19" s="1037"/>
      <c r="E19" s="1037"/>
      <c r="F19" s="1037"/>
      <c r="G19" s="1037"/>
      <c r="H19" s="1037"/>
      <c r="I19" s="1037"/>
      <c r="J19" s="1037"/>
      <c r="K19" s="1037"/>
      <c r="L19" s="1037"/>
      <c r="M19" s="1037"/>
    </row>
    <row r="20" spans="1:13" ht="15.6">
      <c r="A20" s="1037"/>
      <c r="B20" s="530">
        <v>11</v>
      </c>
      <c r="C20" s="530">
        <v>0.98499999999999999</v>
      </c>
      <c r="D20" s="1037"/>
      <c r="E20" s="1037"/>
      <c r="F20" s="1037"/>
      <c r="G20" s="1037"/>
      <c r="H20" s="1037"/>
      <c r="I20" s="1037"/>
      <c r="J20" s="1037"/>
      <c r="K20" s="1037"/>
      <c r="L20" s="1037"/>
      <c r="M20" s="1037"/>
    </row>
    <row r="21" spans="1:13" ht="15.6">
      <c r="A21" s="1037"/>
      <c r="B21" s="530">
        <v>12</v>
      </c>
      <c r="C21" s="530">
        <v>0.99129999999999996</v>
      </c>
      <c r="D21" s="1037"/>
      <c r="E21" s="1037"/>
      <c r="F21" s="1037"/>
      <c r="G21" s="1037"/>
      <c r="H21" s="1037"/>
      <c r="I21" s="1037"/>
      <c r="J21" s="1037"/>
      <c r="K21" s="1037"/>
      <c r="L21" s="1037"/>
      <c r="M21" s="1037"/>
    </row>
    <row r="22" spans="1:13" ht="15.6">
      <c r="A22" s="1037"/>
      <c r="B22" s="530">
        <v>13</v>
      </c>
      <c r="C22" s="530">
        <v>0.99490000000000001</v>
      </c>
      <c r="D22" s="1037"/>
      <c r="E22" s="1037"/>
      <c r="F22" s="1037"/>
      <c r="G22" s="1037"/>
      <c r="H22" s="1037"/>
      <c r="I22" s="1037"/>
      <c r="J22" s="1037"/>
      <c r="K22" s="1037"/>
      <c r="L22" s="1037"/>
      <c r="M22" s="1037"/>
    </row>
    <row r="23" spans="1:13" ht="15.6">
      <c r="A23" s="1037"/>
      <c r="B23" s="530">
        <v>14</v>
      </c>
      <c r="C23" s="530">
        <v>0.99709999999999999</v>
      </c>
      <c r="D23" s="1037"/>
      <c r="E23" s="1037"/>
      <c r="F23" s="1037"/>
      <c r="G23" s="1037"/>
      <c r="H23" s="1037"/>
      <c r="I23" s="1037"/>
      <c r="J23" s="1037"/>
      <c r="K23" s="1037"/>
      <c r="L23" s="1037"/>
      <c r="M23" s="1037"/>
    </row>
    <row r="24" spans="1:13" ht="15.6">
      <c r="A24" s="1037"/>
      <c r="B24" s="530">
        <v>15</v>
      </c>
      <c r="C24" s="530">
        <v>0.99839999999999995</v>
      </c>
      <c r="D24" s="1037"/>
      <c r="E24" s="1037"/>
      <c r="F24" s="1037"/>
      <c r="G24" s="1037"/>
      <c r="H24" s="1037"/>
      <c r="I24" s="1037"/>
      <c r="J24" s="1037"/>
      <c r="K24" s="1037"/>
      <c r="L24" s="1037"/>
      <c r="M24" s="1037"/>
    </row>
    <row r="25" spans="1:13" ht="15.6">
      <c r="A25" s="1037"/>
      <c r="B25" s="530">
        <v>16</v>
      </c>
      <c r="C25" s="530">
        <v>0.99909999999999999</v>
      </c>
      <c r="D25" s="1037"/>
      <c r="E25" s="1037"/>
      <c r="F25" s="1037"/>
      <c r="G25" s="1037"/>
      <c r="H25" s="1037"/>
      <c r="I25" s="1037"/>
      <c r="J25" s="1037"/>
      <c r="K25" s="1037"/>
      <c r="L25" s="1037"/>
      <c r="M25" s="1037"/>
    </row>
    <row r="26" spans="1:13" ht="15.6">
      <c r="A26" s="1037"/>
      <c r="B26" s="530">
        <v>17</v>
      </c>
      <c r="C26" s="530">
        <v>0.99950000000000006</v>
      </c>
      <c r="D26" s="1037"/>
      <c r="E26" s="1037"/>
      <c r="F26" s="1037"/>
      <c r="G26" s="1037"/>
      <c r="H26" s="1037"/>
      <c r="I26" s="1037"/>
      <c r="J26" s="1037"/>
      <c r="K26" s="1037"/>
      <c r="L26" s="1037"/>
      <c r="M26" s="1037"/>
    </row>
    <row r="27" spans="1:13" ht="15.6">
      <c r="A27" s="1037"/>
      <c r="B27" s="530">
        <v>18</v>
      </c>
      <c r="C27" s="530">
        <v>0.99970000000000003</v>
      </c>
      <c r="D27" s="1037"/>
      <c r="E27" s="1037"/>
      <c r="F27" s="1037"/>
      <c r="G27" s="1037"/>
      <c r="H27" s="1037"/>
      <c r="I27" s="1037"/>
      <c r="J27" s="1037"/>
      <c r="K27" s="1037"/>
      <c r="L27" s="1037"/>
      <c r="M27" s="1037"/>
    </row>
    <row r="28" spans="1:13" ht="15.6">
      <c r="A28" s="1037"/>
      <c r="B28" s="530">
        <v>19</v>
      </c>
      <c r="C28" s="530">
        <v>0.99980000000000002</v>
      </c>
      <c r="D28" s="1037"/>
      <c r="E28" s="1037"/>
      <c r="F28" s="1037"/>
      <c r="G28" s="1037"/>
      <c r="H28" s="1037"/>
      <c r="I28" s="1037"/>
      <c r="J28" s="1037"/>
      <c r="K28" s="1037"/>
      <c r="L28" s="1037"/>
      <c r="M28" s="1037"/>
    </row>
    <row r="29" spans="1:13" ht="15.6">
      <c r="A29" s="1037"/>
      <c r="B29" s="530">
        <v>20</v>
      </c>
      <c r="C29" s="530">
        <v>0.99990000000000001</v>
      </c>
      <c r="D29" s="1037"/>
      <c r="E29" s="1037"/>
      <c r="F29" s="1037"/>
      <c r="G29" s="1037"/>
      <c r="H29" s="1037"/>
      <c r="I29" s="1037"/>
      <c r="J29" s="1037"/>
      <c r="K29" s="1037"/>
      <c r="L29" s="1037"/>
      <c r="M29" s="1037"/>
    </row>
    <row r="30" spans="1:13">
      <c r="A30" s="1037"/>
      <c r="B30" s="1037"/>
      <c r="C30" s="1037"/>
      <c r="D30" s="1037"/>
      <c r="E30" s="1037"/>
      <c r="F30" s="1037"/>
      <c r="G30" s="1037"/>
      <c r="H30" s="1037"/>
      <c r="I30" s="1037"/>
      <c r="J30" s="1037"/>
      <c r="K30" s="1037"/>
      <c r="L30" s="1037"/>
      <c r="M30" s="1037"/>
    </row>
    <row r="31" spans="1:13" ht="15.6">
      <c r="A31" s="1161" t="s">
        <v>2404</v>
      </c>
      <c r="B31" s="1037"/>
      <c r="C31" s="1037"/>
      <c r="D31" s="1037"/>
      <c r="E31" s="1037"/>
      <c r="F31" s="1037"/>
      <c r="G31" s="1037"/>
      <c r="H31" s="1037"/>
      <c r="I31" s="793"/>
      <c r="J31" s="792" t="s">
        <v>2403</v>
      </c>
      <c r="K31" s="1383">
        <v>0.3</v>
      </c>
      <c r="L31" s="1037"/>
      <c r="M31" s="1037"/>
    </row>
    <row r="32" spans="1:13" ht="15.6">
      <c r="A32" s="1161" t="s">
        <v>2402</v>
      </c>
      <c r="B32" s="1037"/>
      <c r="C32" s="1037"/>
      <c r="D32" s="1037"/>
      <c r="E32" s="1037"/>
      <c r="F32" s="1037"/>
      <c r="G32" s="1037"/>
      <c r="H32" s="1037"/>
      <c r="I32" s="793"/>
      <c r="J32" s="792" t="s">
        <v>2401</v>
      </c>
      <c r="K32" s="1383">
        <v>0.05</v>
      </c>
      <c r="L32" s="1037"/>
      <c r="M32" s="1037"/>
    </row>
    <row r="33" spans="1:17" ht="15.6">
      <c r="A33" s="1161" t="s">
        <v>2400</v>
      </c>
      <c r="B33" s="1037"/>
      <c r="C33" s="1037"/>
      <c r="D33" s="1037"/>
      <c r="E33" s="1037"/>
      <c r="F33" s="1037"/>
      <c r="G33" s="1037"/>
      <c r="H33" s="1037"/>
      <c r="I33" s="1387"/>
      <c r="J33" s="1400" t="s">
        <v>2399</v>
      </c>
      <c r="K33" s="1401">
        <v>0.02</v>
      </c>
      <c r="L33" s="1037"/>
      <c r="M33" s="1037"/>
    </row>
    <row r="34" spans="1:17" ht="15.6">
      <c r="A34" s="1161" t="s">
        <v>2398</v>
      </c>
      <c r="B34" s="1037"/>
      <c r="C34" s="1037"/>
      <c r="D34" s="1037"/>
      <c r="E34" s="1037"/>
      <c r="F34" s="1037"/>
      <c r="G34" s="1037"/>
      <c r="H34" s="1037"/>
      <c r="I34" s="1387"/>
      <c r="J34" s="1400" t="s">
        <v>2397</v>
      </c>
      <c r="K34" s="1399">
        <v>8000000</v>
      </c>
      <c r="L34" s="1037"/>
      <c r="M34" s="1037"/>
    </row>
    <row r="35" spans="1:17">
      <c r="A35" s="1037"/>
      <c r="B35" s="1037"/>
      <c r="C35" s="1037"/>
      <c r="D35" s="1037"/>
      <c r="E35" s="1037"/>
      <c r="F35" s="1037"/>
      <c r="G35" s="1037"/>
      <c r="H35" s="1037"/>
      <c r="I35" s="1037"/>
      <c r="J35" s="1037"/>
      <c r="K35" s="1037"/>
      <c r="L35" s="1037"/>
      <c r="M35" s="1037"/>
    </row>
    <row r="36" spans="1:17" ht="15.6">
      <c r="A36" s="22" t="s">
        <v>80</v>
      </c>
      <c r="B36" s="22" t="s">
        <v>2396</v>
      </c>
      <c r="C36" s="22"/>
      <c r="D36" s="22"/>
      <c r="E36" s="22"/>
      <c r="F36" s="22"/>
      <c r="G36" s="22"/>
      <c r="H36" s="22"/>
      <c r="I36" s="22"/>
      <c r="J36" s="22"/>
      <c r="K36" s="22"/>
      <c r="L36" s="22"/>
      <c r="M36" s="22"/>
    </row>
    <row r="37" spans="1:17" ht="16.2">
      <c r="A37" s="342"/>
      <c r="B37" s="342" t="s">
        <v>64</v>
      </c>
      <c r="C37" s="342"/>
      <c r="D37" s="341"/>
      <c r="E37" s="341"/>
      <c r="F37" s="22"/>
      <c r="G37" s="22"/>
      <c r="H37" s="22"/>
      <c r="I37" s="325"/>
      <c r="J37" s="22"/>
      <c r="K37" s="22"/>
      <c r="L37" s="22"/>
      <c r="M37" s="22"/>
    </row>
    <row r="38" spans="1:17" ht="15.6">
      <c r="A38" s="187"/>
      <c r="B38" s="1"/>
      <c r="C38" s="1"/>
      <c r="D38" s="1"/>
      <c r="E38" s="1"/>
      <c r="G38" s="1"/>
      <c r="H38" s="1398" t="s">
        <v>2395</v>
      </c>
      <c r="I38" s="1398" t="s">
        <v>2395</v>
      </c>
      <c r="J38" s="1"/>
      <c r="K38" s="1397" t="s">
        <v>2394</v>
      </c>
      <c r="L38" s="1397" t="s">
        <v>2394</v>
      </c>
      <c r="M38" s="1"/>
    </row>
    <row r="39" spans="1:17" ht="15.6">
      <c r="A39" s="187"/>
      <c r="B39" s="1"/>
      <c r="C39" s="1"/>
      <c r="D39" s="1"/>
      <c r="E39" s="277" t="s">
        <v>2393</v>
      </c>
      <c r="F39" s="1" t="s">
        <v>2392</v>
      </c>
      <c r="G39" s="1"/>
      <c r="H39" s="1395" t="s">
        <v>2391</v>
      </c>
      <c r="I39" s="1392"/>
      <c r="J39" s="1"/>
      <c r="K39" s="1394" t="s">
        <v>2390</v>
      </c>
      <c r="L39" s="1396"/>
      <c r="M39" s="1"/>
    </row>
    <row r="40" spans="1:17" ht="15.6">
      <c r="A40" s="277" t="s">
        <v>2018</v>
      </c>
      <c r="B40" s="277" t="s">
        <v>35</v>
      </c>
      <c r="C40" s="277" t="s">
        <v>2384</v>
      </c>
      <c r="D40" s="277" t="s">
        <v>2389</v>
      </c>
      <c r="E40" s="277" t="s">
        <v>1998</v>
      </c>
      <c r="F40" s="277" t="s">
        <v>2388</v>
      </c>
      <c r="G40" s="277"/>
      <c r="H40" s="1395" t="s">
        <v>2387</v>
      </c>
      <c r="I40" s="1395" t="s">
        <v>1998</v>
      </c>
      <c r="J40" s="277"/>
      <c r="K40" s="1394" t="s">
        <v>1997</v>
      </c>
      <c r="L40" s="1394" t="s">
        <v>2385</v>
      </c>
      <c r="M40" s="1"/>
    </row>
    <row r="41" spans="1:17" ht="15.6">
      <c r="A41" s="277">
        <f t="shared" ref="A41:A60" si="0">B10</f>
        <v>1</v>
      </c>
      <c r="B41" s="277">
        <f>AVERAGE(0,A41)</f>
        <v>0.5</v>
      </c>
      <c r="C41" s="277">
        <f t="shared" ref="C41:C60" si="1">C10</f>
        <v>5.2600000000000001E-2</v>
      </c>
      <c r="D41" s="649">
        <f>C41</f>
        <v>5.2600000000000001E-2</v>
      </c>
      <c r="E41" s="1105">
        <f t="shared" ref="E41:E60" si="2">B41*1000000/$K$34</f>
        <v>6.25E-2</v>
      </c>
      <c r="F41" s="1166">
        <f t="shared" ref="F41:F60" si="3">E41+SUM($K$31:$K$33)</f>
        <v>0.4325</v>
      </c>
      <c r="G41" s="1"/>
      <c r="H41" s="1393">
        <f t="shared" ref="H41:H60" si="4">MIN(100%-60%, MAX(E41-60%,0))</f>
        <v>0</v>
      </c>
      <c r="I41" s="1392">
        <f t="shared" ref="I41:I60" si="5">E41-H41*0.75</f>
        <v>6.25E-2</v>
      </c>
      <c r="J41" s="1"/>
      <c r="K41" s="1391">
        <f t="shared" ref="K41:K60" si="6">IF(I41&lt;=$M$80,$K$80,IF(I41&gt;=$M$78,$K$78,IF(I41&gt;$M$79,$K$78+($M$78-I41),$K$80-0.5*(I41-$M$80))))</f>
        <v>0.35</v>
      </c>
      <c r="L41" s="1390">
        <f t="shared" ref="L41:L60" si="7">I41+K41+SUM($K$32:$K$33)</f>
        <v>0.48249999999999998</v>
      </c>
      <c r="M41" s="1"/>
      <c r="P41" s="277">
        <v>1</v>
      </c>
      <c r="Q41" s="277">
        <f>AVERAGE($B10,0)</f>
        <v>0.5</v>
      </c>
    </row>
    <row r="42" spans="1:17" ht="15.6">
      <c r="A42" s="277">
        <f t="shared" si="0"/>
        <v>2</v>
      </c>
      <c r="B42" s="277">
        <f t="shared" ref="B42:B60" si="8">AVERAGE(A41,A42)</f>
        <v>1.5</v>
      </c>
      <c r="C42" s="277">
        <f t="shared" si="1"/>
        <v>0.21190000000000001</v>
      </c>
      <c r="D42" s="649">
        <f t="shared" ref="D42:D60" si="9">C42-C41</f>
        <v>0.1593</v>
      </c>
      <c r="E42" s="1105">
        <f t="shared" si="2"/>
        <v>0.1875</v>
      </c>
      <c r="F42" s="1166">
        <f t="shared" si="3"/>
        <v>0.5575</v>
      </c>
      <c r="G42" s="1"/>
      <c r="H42" s="1393">
        <f t="shared" si="4"/>
        <v>0</v>
      </c>
      <c r="I42" s="1392">
        <f t="shared" si="5"/>
        <v>0.1875</v>
      </c>
      <c r="J42" s="1"/>
      <c r="K42" s="1391">
        <f t="shared" si="6"/>
        <v>0.35</v>
      </c>
      <c r="L42" s="1390">
        <f t="shared" si="7"/>
        <v>0.60749999999999993</v>
      </c>
      <c r="M42" s="1"/>
      <c r="P42" s="277">
        <v>2</v>
      </c>
      <c r="Q42" s="277">
        <f t="shared" ref="Q42:Q60" si="10">AVERAGE($B11,$B10)</f>
        <v>1.5</v>
      </c>
    </row>
    <row r="43" spans="1:17" ht="15.6">
      <c r="A43" s="277">
        <f t="shared" si="0"/>
        <v>3</v>
      </c>
      <c r="B43" s="277">
        <f t="shared" si="8"/>
        <v>2.5</v>
      </c>
      <c r="C43" s="277">
        <f t="shared" si="1"/>
        <v>0.40579999999999999</v>
      </c>
      <c r="D43" s="649">
        <f t="shared" si="9"/>
        <v>0.19389999999999999</v>
      </c>
      <c r="E43" s="1105">
        <f t="shared" si="2"/>
        <v>0.3125</v>
      </c>
      <c r="F43" s="1166">
        <f t="shared" si="3"/>
        <v>0.6825</v>
      </c>
      <c r="G43" s="1"/>
      <c r="H43" s="1393">
        <f t="shared" si="4"/>
        <v>0</v>
      </c>
      <c r="I43" s="1392">
        <f t="shared" si="5"/>
        <v>0.3125</v>
      </c>
      <c r="J43" s="1"/>
      <c r="K43" s="1391">
        <f t="shared" si="6"/>
        <v>0.35</v>
      </c>
      <c r="L43" s="1390">
        <f t="shared" si="7"/>
        <v>0.73249999999999993</v>
      </c>
      <c r="M43" s="1"/>
      <c r="P43" s="277">
        <v>3</v>
      </c>
      <c r="Q43" s="277">
        <f t="shared" si="10"/>
        <v>2.5</v>
      </c>
    </row>
    <row r="44" spans="1:17" ht="15.6">
      <c r="A44" s="277">
        <f t="shared" si="0"/>
        <v>4</v>
      </c>
      <c r="B44" s="277">
        <f t="shared" si="8"/>
        <v>3.5</v>
      </c>
      <c r="C44" s="277">
        <f t="shared" si="1"/>
        <v>0.58150000000000002</v>
      </c>
      <c r="D44" s="649">
        <f t="shared" si="9"/>
        <v>0.17570000000000002</v>
      </c>
      <c r="E44" s="1105">
        <f t="shared" si="2"/>
        <v>0.4375</v>
      </c>
      <c r="F44" s="1166">
        <f t="shared" si="3"/>
        <v>0.8075</v>
      </c>
      <c r="G44" s="1"/>
      <c r="H44" s="1393">
        <f t="shared" si="4"/>
        <v>0</v>
      </c>
      <c r="I44" s="1392">
        <f t="shared" si="5"/>
        <v>0.4375</v>
      </c>
      <c r="J44" s="1"/>
      <c r="K44" s="1391">
        <f t="shared" si="6"/>
        <v>0.33124999999999999</v>
      </c>
      <c r="L44" s="1390">
        <f t="shared" si="7"/>
        <v>0.83875000000000011</v>
      </c>
      <c r="M44" s="1"/>
      <c r="P44" s="277">
        <v>4</v>
      </c>
      <c r="Q44" s="277">
        <f t="shared" si="10"/>
        <v>3.5</v>
      </c>
    </row>
    <row r="45" spans="1:17" ht="15.6">
      <c r="A45" s="277">
        <f t="shared" si="0"/>
        <v>5</v>
      </c>
      <c r="B45" s="277">
        <f t="shared" si="8"/>
        <v>4.5</v>
      </c>
      <c r="C45" s="277">
        <f t="shared" si="1"/>
        <v>0.71909999999999996</v>
      </c>
      <c r="D45" s="649">
        <f t="shared" si="9"/>
        <v>0.13759999999999994</v>
      </c>
      <c r="E45" s="1105">
        <f t="shared" si="2"/>
        <v>0.5625</v>
      </c>
      <c r="F45" s="1166">
        <f t="shared" si="3"/>
        <v>0.9325</v>
      </c>
      <c r="G45" s="1"/>
      <c r="H45" s="1393">
        <f t="shared" si="4"/>
        <v>0</v>
      </c>
      <c r="I45" s="1392">
        <f t="shared" si="5"/>
        <v>0.5625</v>
      </c>
      <c r="J45" s="1"/>
      <c r="K45" s="1391">
        <f t="shared" si="6"/>
        <v>0.26874999999999999</v>
      </c>
      <c r="L45" s="1390">
        <f t="shared" si="7"/>
        <v>0.90125000000000011</v>
      </c>
      <c r="M45" s="1"/>
      <c r="P45" s="277">
        <v>5</v>
      </c>
      <c r="Q45" s="277">
        <f t="shared" si="10"/>
        <v>4.5</v>
      </c>
    </row>
    <row r="46" spans="1:17" ht="15.6">
      <c r="A46" s="277">
        <f t="shared" si="0"/>
        <v>6</v>
      </c>
      <c r="B46" s="277">
        <f t="shared" si="8"/>
        <v>5.5</v>
      </c>
      <c r="C46" s="277">
        <f t="shared" si="1"/>
        <v>0.81820000000000004</v>
      </c>
      <c r="D46" s="649">
        <f t="shared" si="9"/>
        <v>9.9100000000000077E-2</v>
      </c>
      <c r="E46" s="1105">
        <f t="shared" si="2"/>
        <v>0.6875</v>
      </c>
      <c r="F46" s="1166">
        <f t="shared" si="3"/>
        <v>1.0575000000000001</v>
      </c>
      <c r="G46" s="1"/>
      <c r="H46" s="1393">
        <f t="shared" si="4"/>
        <v>8.7500000000000022E-2</v>
      </c>
      <c r="I46" s="1392">
        <f t="shared" si="5"/>
        <v>0.62187499999999996</v>
      </c>
      <c r="J46" s="1"/>
      <c r="K46" s="1391">
        <f t="shared" si="6"/>
        <v>0.22812499999999999</v>
      </c>
      <c r="L46" s="1390">
        <f t="shared" si="7"/>
        <v>0.91999999999999993</v>
      </c>
      <c r="M46" s="1"/>
      <c r="P46" s="277">
        <v>6</v>
      </c>
      <c r="Q46" s="277">
        <f t="shared" si="10"/>
        <v>5.5</v>
      </c>
    </row>
    <row r="47" spans="1:17" ht="15.6">
      <c r="A47" s="277">
        <f t="shared" si="0"/>
        <v>7</v>
      </c>
      <c r="B47" s="277">
        <f t="shared" si="8"/>
        <v>6.5</v>
      </c>
      <c r="C47" s="277">
        <f t="shared" si="1"/>
        <v>0.88549999999999995</v>
      </c>
      <c r="D47" s="649">
        <f t="shared" si="9"/>
        <v>6.7299999999999915E-2</v>
      </c>
      <c r="E47" s="1105">
        <f t="shared" si="2"/>
        <v>0.8125</v>
      </c>
      <c r="F47" s="1166">
        <f t="shared" si="3"/>
        <v>1.1825000000000001</v>
      </c>
      <c r="G47" s="1"/>
      <c r="H47" s="1393">
        <f t="shared" si="4"/>
        <v>0.21250000000000002</v>
      </c>
      <c r="I47" s="1392">
        <f t="shared" si="5"/>
        <v>0.65312499999999996</v>
      </c>
      <c r="J47" s="1"/>
      <c r="K47" s="1391">
        <f t="shared" si="6"/>
        <v>0.19687499999999999</v>
      </c>
      <c r="L47" s="1390">
        <f t="shared" si="7"/>
        <v>0.91999999999999993</v>
      </c>
      <c r="M47" s="1"/>
      <c r="P47" s="277">
        <v>7</v>
      </c>
      <c r="Q47" s="277">
        <f t="shared" si="10"/>
        <v>6.5</v>
      </c>
    </row>
    <row r="48" spans="1:17" ht="15.6">
      <c r="A48" s="277">
        <f t="shared" si="0"/>
        <v>8</v>
      </c>
      <c r="B48" s="277">
        <f t="shared" si="8"/>
        <v>7.5</v>
      </c>
      <c r="C48" s="277">
        <f t="shared" si="1"/>
        <v>0.92949999999999999</v>
      </c>
      <c r="D48" s="649">
        <f t="shared" si="9"/>
        <v>4.4000000000000039E-2</v>
      </c>
      <c r="E48" s="1105">
        <f t="shared" si="2"/>
        <v>0.9375</v>
      </c>
      <c r="F48" s="1166">
        <f t="shared" si="3"/>
        <v>1.3075000000000001</v>
      </c>
      <c r="G48" s="1"/>
      <c r="H48" s="1393">
        <f t="shared" si="4"/>
        <v>0.33750000000000002</v>
      </c>
      <c r="I48" s="1392">
        <f t="shared" si="5"/>
        <v>0.68437499999999996</v>
      </c>
      <c r="J48" s="1"/>
      <c r="K48" s="1391">
        <f t="shared" si="6"/>
        <v>0.16562499999999999</v>
      </c>
      <c r="L48" s="1390">
        <f t="shared" si="7"/>
        <v>0.91999999999999993</v>
      </c>
      <c r="M48" s="1"/>
      <c r="P48" s="277">
        <v>8</v>
      </c>
      <c r="Q48" s="277">
        <f t="shared" si="10"/>
        <v>7.5</v>
      </c>
    </row>
    <row r="49" spans="1:17" ht="15.6">
      <c r="A49" s="277">
        <f t="shared" si="0"/>
        <v>9</v>
      </c>
      <c r="B49" s="277">
        <f t="shared" si="8"/>
        <v>8.5</v>
      </c>
      <c r="C49" s="277">
        <f t="shared" si="1"/>
        <v>0.95730000000000004</v>
      </c>
      <c r="D49" s="649">
        <f t="shared" si="9"/>
        <v>2.7800000000000047E-2</v>
      </c>
      <c r="E49" s="1105">
        <f t="shared" si="2"/>
        <v>1.0625</v>
      </c>
      <c r="F49" s="1166">
        <f t="shared" si="3"/>
        <v>1.4325000000000001</v>
      </c>
      <c r="G49" s="1"/>
      <c r="H49" s="1393">
        <f t="shared" si="4"/>
        <v>0.4</v>
      </c>
      <c r="I49" s="1392">
        <f t="shared" si="5"/>
        <v>0.76249999999999996</v>
      </c>
      <c r="J49" s="1"/>
      <c r="K49" s="1391">
        <f t="shared" si="6"/>
        <v>0.15</v>
      </c>
      <c r="L49" s="1390">
        <f t="shared" si="7"/>
        <v>0.98249999999999993</v>
      </c>
      <c r="M49" s="1"/>
      <c r="P49" s="277">
        <v>9</v>
      </c>
      <c r="Q49" s="277">
        <f t="shared" si="10"/>
        <v>8.5</v>
      </c>
    </row>
    <row r="50" spans="1:17" ht="15.6">
      <c r="A50" s="277">
        <f t="shared" si="0"/>
        <v>10</v>
      </c>
      <c r="B50" s="277">
        <f t="shared" si="8"/>
        <v>9.5</v>
      </c>
      <c r="C50" s="277">
        <f t="shared" si="1"/>
        <v>0.97460000000000002</v>
      </c>
      <c r="D50" s="649">
        <f t="shared" si="9"/>
        <v>1.7299999999999982E-2</v>
      </c>
      <c r="E50" s="1105">
        <f t="shared" si="2"/>
        <v>1.1875</v>
      </c>
      <c r="F50" s="1166">
        <f t="shared" si="3"/>
        <v>1.5575000000000001</v>
      </c>
      <c r="G50" s="1"/>
      <c r="H50" s="1393">
        <f t="shared" si="4"/>
        <v>0.4</v>
      </c>
      <c r="I50" s="1392">
        <f t="shared" si="5"/>
        <v>0.88749999999999996</v>
      </c>
      <c r="J50" s="1"/>
      <c r="K50" s="1391">
        <f t="shared" si="6"/>
        <v>0.15</v>
      </c>
      <c r="L50" s="1390">
        <f t="shared" si="7"/>
        <v>1.1074999999999999</v>
      </c>
      <c r="M50" s="1"/>
      <c r="P50" s="277">
        <v>10</v>
      </c>
      <c r="Q50" s="277">
        <f t="shared" si="10"/>
        <v>9.5</v>
      </c>
    </row>
    <row r="51" spans="1:17" ht="15.6">
      <c r="A51" s="277">
        <f t="shared" si="0"/>
        <v>11</v>
      </c>
      <c r="B51" s="277">
        <f t="shared" si="8"/>
        <v>10.5</v>
      </c>
      <c r="C51" s="277">
        <f t="shared" si="1"/>
        <v>0.98499999999999999</v>
      </c>
      <c r="D51" s="649">
        <f t="shared" si="9"/>
        <v>1.0399999999999965E-2</v>
      </c>
      <c r="E51" s="1105">
        <f t="shared" si="2"/>
        <v>1.3125</v>
      </c>
      <c r="F51" s="1166">
        <f t="shared" si="3"/>
        <v>1.6825000000000001</v>
      </c>
      <c r="G51" s="1"/>
      <c r="H51" s="1393">
        <f t="shared" si="4"/>
        <v>0.4</v>
      </c>
      <c r="I51" s="1392">
        <f t="shared" si="5"/>
        <v>1.0125</v>
      </c>
      <c r="J51" s="1"/>
      <c r="K51" s="1391">
        <f t="shared" si="6"/>
        <v>0.15</v>
      </c>
      <c r="L51" s="1390">
        <f t="shared" si="7"/>
        <v>1.2324999999999999</v>
      </c>
      <c r="M51" s="1"/>
      <c r="P51" s="277">
        <v>11</v>
      </c>
      <c r="Q51" s="277">
        <f t="shared" si="10"/>
        <v>10.5</v>
      </c>
    </row>
    <row r="52" spans="1:17" ht="15.6">
      <c r="A52" s="277">
        <f t="shared" si="0"/>
        <v>12</v>
      </c>
      <c r="B52" s="277">
        <f t="shared" si="8"/>
        <v>11.5</v>
      </c>
      <c r="C52" s="277">
        <f t="shared" si="1"/>
        <v>0.99129999999999996</v>
      </c>
      <c r="D52" s="649">
        <f t="shared" si="9"/>
        <v>6.2999999999999723E-3</v>
      </c>
      <c r="E52" s="1105">
        <f t="shared" si="2"/>
        <v>1.4375</v>
      </c>
      <c r="F52" s="1166">
        <f t="shared" si="3"/>
        <v>1.8075000000000001</v>
      </c>
      <c r="G52" s="1"/>
      <c r="H52" s="1393">
        <f t="shared" si="4"/>
        <v>0.4</v>
      </c>
      <c r="I52" s="1392">
        <f t="shared" si="5"/>
        <v>1.1375</v>
      </c>
      <c r="J52" s="1"/>
      <c r="K52" s="1391">
        <f t="shared" si="6"/>
        <v>0.15</v>
      </c>
      <c r="L52" s="1390">
        <f t="shared" si="7"/>
        <v>1.3574999999999999</v>
      </c>
      <c r="M52" s="1"/>
      <c r="P52" s="277">
        <v>12</v>
      </c>
      <c r="Q52" s="277">
        <f t="shared" si="10"/>
        <v>11.5</v>
      </c>
    </row>
    <row r="53" spans="1:17" ht="15.6">
      <c r="A53" s="277">
        <f t="shared" si="0"/>
        <v>13</v>
      </c>
      <c r="B53" s="277">
        <f t="shared" si="8"/>
        <v>12.5</v>
      </c>
      <c r="C53" s="277">
        <f t="shared" si="1"/>
        <v>0.99490000000000001</v>
      </c>
      <c r="D53" s="649">
        <f t="shared" si="9"/>
        <v>3.6000000000000476E-3</v>
      </c>
      <c r="E53" s="1105">
        <f t="shared" si="2"/>
        <v>1.5625</v>
      </c>
      <c r="F53" s="1166">
        <f t="shared" si="3"/>
        <v>1.9325000000000001</v>
      </c>
      <c r="G53" s="1"/>
      <c r="H53" s="1393">
        <f t="shared" si="4"/>
        <v>0.4</v>
      </c>
      <c r="I53" s="1392">
        <f t="shared" si="5"/>
        <v>1.2625</v>
      </c>
      <c r="J53" s="1"/>
      <c r="K53" s="1391">
        <f t="shared" si="6"/>
        <v>0.15</v>
      </c>
      <c r="L53" s="1390">
        <f t="shared" si="7"/>
        <v>1.4824999999999999</v>
      </c>
      <c r="M53" s="1"/>
      <c r="P53" s="277">
        <v>13</v>
      </c>
      <c r="Q53" s="277">
        <f t="shared" si="10"/>
        <v>12.5</v>
      </c>
    </row>
    <row r="54" spans="1:17" ht="15.6">
      <c r="A54" s="277">
        <f t="shared" si="0"/>
        <v>14</v>
      </c>
      <c r="B54" s="277">
        <f t="shared" si="8"/>
        <v>13.5</v>
      </c>
      <c r="C54" s="277">
        <f t="shared" si="1"/>
        <v>0.99709999999999999</v>
      </c>
      <c r="D54" s="649">
        <f t="shared" si="9"/>
        <v>2.1999999999999797E-3</v>
      </c>
      <c r="E54" s="1105">
        <f t="shared" si="2"/>
        <v>1.6875</v>
      </c>
      <c r="F54" s="1166">
        <f t="shared" si="3"/>
        <v>2.0575000000000001</v>
      </c>
      <c r="G54" s="1"/>
      <c r="H54" s="1393">
        <f t="shared" si="4"/>
        <v>0.4</v>
      </c>
      <c r="I54" s="1392">
        <f t="shared" si="5"/>
        <v>1.3875</v>
      </c>
      <c r="J54" s="1"/>
      <c r="K54" s="1391">
        <f t="shared" si="6"/>
        <v>0.15</v>
      </c>
      <c r="L54" s="1390">
        <f t="shared" si="7"/>
        <v>1.6074999999999999</v>
      </c>
      <c r="M54" s="1"/>
      <c r="P54" s="277">
        <v>14</v>
      </c>
      <c r="Q54" s="277">
        <f t="shared" si="10"/>
        <v>13.5</v>
      </c>
    </row>
    <row r="55" spans="1:17" ht="15.6">
      <c r="A55" s="277">
        <f t="shared" si="0"/>
        <v>15</v>
      </c>
      <c r="B55" s="277">
        <f t="shared" si="8"/>
        <v>14.5</v>
      </c>
      <c r="C55" s="277">
        <f t="shared" si="1"/>
        <v>0.99839999999999995</v>
      </c>
      <c r="D55" s="649">
        <f t="shared" si="9"/>
        <v>1.2999999999999678E-3</v>
      </c>
      <c r="E55" s="1105">
        <f t="shared" si="2"/>
        <v>1.8125</v>
      </c>
      <c r="F55" s="1166">
        <f t="shared" si="3"/>
        <v>2.1825000000000001</v>
      </c>
      <c r="G55" s="1"/>
      <c r="H55" s="1393">
        <f t="shared" si="4"/>
        <v>0.4</v>
      </c>
      <c r="I55" s="1392">
        <f t="shared" si="5"/>
        <v>1.5125</v>
      </c>
      <c r="J55" s="1"/>
      <c r="K55" s="1391">
        <f t="shared" si="6"/>
        <v>0.15</v>
      </c>
      <c r="L55" s="1390">
        <f t="shared" si="7"/>
        <v>1.7324999999999999</v>
      </c>
      <c r="M55" s="1"/>
      <c r="P55" s="277">
        <v>15</v>
      </c>
      <c r="Q55" s="277">
        <f t="shared" si="10"/>
        <v>14.5</v>
      </c>
    </row>
    <row r="56" spans="1:17" ht="15.6">
      <c r="A56" s="277">
        <f t="shared" si="0"/>
        <v>16</v>
      </c>
      <c r="B56" s="277">
        <f t="shared" si="8"/>
        <v>15.5</v>
      </c>
      <c r="C56" s="277">
        <f t="shared" si="1"/>
        <v>0.99909999999999999</v>
      </c>
      <c r="D56" s="649">
        <f t="shared" si="9"/>
        <v>7.0000000000003393E-4</v>
      </c>
      <c r="E56" s="1105">
        <f t="shared" si="2"/>
        <v>1.9375</v>
      </c>
      <c r="F56" s="1166">
        <f t="shared" si="3"/>
        <v>2.3075000000000001</v>
      </c>
      <c r="G56" s="1"/>
      <c r="H56" s="1393">
        <f t="shared" si="4"/>
        <v>0.4</v>
      </c>
      <c r="I56" s="1392">
        <f t="shared" si="5"/>
        <v>1.6375</v>
      </c>
      <c r="J56" s="1"/>
      <c r="K56" s="1391">
        <f t="shared" si="6"/>
        <v>0.15</v>
      </c>
      <c r="L56" s="1390">
        <f t="shared" si="7"/>
        <v>1.8574999999999999</v>
      </c>
      <c r="M56" s="1"/>
      <c r="P56" s="277">
        <v>16</v>
      </c>
      <c r="Q56" s="277">
        <f t="shared" si="10"/>
        <v>15.5</v>
      </c>
    </row>
    <row r="57" spans="1:17" ht="15.6">
      <c r="A57" s="277">
        <f t="shared" si="0"/>
        <v>17</v>
      </c>
      <c r="B57" s="277">
        <f t="shared" si="8"/>
        <v>16.5</v>
      </c>
      <c r="C57" s="277">
        <f t="shared" si="1"/>
        <v>0.99950000000000006</v>
      </c>
      <c r="D57" s="649">
        <f t="shared" si="9"/>
        <v>4.0000000000006697E-4</v>
      </c>
      <c r="E57" s="1105">
        <f t="shared" si="2"/>
        <v>2.0625</v>
      </c>
      <c r="F57" s="1166">
        <f t="shared" si="3"/>
        <v>2.4325000000000001</v>
      </c>
      <c r="G57" s="1"/>
      <c r="H57" s="1393">
        <f t="shared" si="4"/>
        <v>0.4</v>
      </c>
      <c r="I57" s="1392">
        <f t="shared" si="5"/>
        <v>1.7625</v>
      </c>
      <c r="J57" s="1"/>
      <c r="K57" s="1391">
        <f t="shared" si="6"/>
        <v>0.15</v>
      </c>
      <c r="L57" s="1390">
        <f t="shared" si="7"/>
        <v>1.9824999999999999</v>
      </c>
      <c r="M57" s="1"/>
      <c r="P57" s="277">
        <v>17</v>
      </c>
      <c r="Q57" s="277">
        <f t="shared" si="10"/>
        <v>16.5</v>
      </c>
    </row>
    <row r="58" spans="1:17" ht="15.6">
      <c r="A58" s="277">
        <f t="shared" si="0"/>
        <v>18</v>
      </c>
      <c r="B58" s="277">
        <f t="shared" si="8"/>
        <v>17.5</v>
      </c>
      <c r="C58" s="277">
        <f t="shared" si="1"/>
        <v>0.99970000000000003</v>
      </c>
      <c r="D58" s="649">
        <f t="shared" si="9"/>
        <v>1.9999999999997797E-4</v>
      </c>
      <c r="E58" s="1105">
        <f t="shared" si="2"/>
        <v>2.1875</v>
      </c>
      <c r="F58" s="1166">
        <f t="shared" si="3"/>
        <v>2.5575000000000001</v>
      </c>
      <c r="G58" s="1"/>
      <c r="H58" s="1393">
        <f t="shared" si="4"/>
        <v>0.4</v>
      </c>
      <c r="I58" s="1392">
        <f t="shared" si="5"/>
        <v>1.8875</v>
      </c>
      <c r="J58" s="1"/>
      <c r="K58" s="1391">
        <f t="shared" si="6"/>
        <v>0.15</v>
      </c>
      <c r="L58" s="1390">
        <f t="shared" si="7"/>
        <v>2.1074999999999999</v>
      </c>
      <c r="M58" s="1"/>
      <c r="P58" s="277">
        <v>18</v>
      </c>
      <c r="Q58" s="277">
        <f t="shared" si="10"/>
        <v>17.5</v>
      </c>
    </row>
    <row r="59" spans="1:17" ht="15.6">
      <c r="A59" s="277">
        <f t="shared" si="0"/>
        <v>19</v>
      </c>
      <c r="B59" s="277">
        <f t="shared" si="8"/>
        <v>18.5</v>
      </c>
      <c r="C59" s="277">
        <f t="shared" si="1"/>
        <v>0.99980000000000002</v>
      </c>
      <c r="D59" s="649">
        <f t="shared" si="9"/>
        <v>9.9999999999988987E-5</v>
      </c>
      <c r="E59" s="1105">
        <f t="shared" si="2"/>
        <v>2.3125</v>
      </c>
      <c r="F59" s="1166">
        <f t="shared" si="3"/>
        <v>2.6825000000000001</v>
      </c>
      <c r="G59" s="1"/>
      <c r="H59" s="1393">
        <f t="shared" si="4"/>
        <v>0.4</v>
      </c>
      <c r="I59" s="1392">
        <f t="shared" si="5"/>
        <v>2.0125000000000002</v>
      </c>
      <c r="J59" s="1"/>
      <c r="K59" s="1391">
        <f t="shared" si="6"/>
        <v>0.15</v>
      </c>
      <c r="L59" s="1390">
        <f t="shared" si="7"/>
        <v>2.2324999999999999</v>
      </c>
      <c r="M59" s="1"/>
      <c r="P59" s="277">
        <v>19</v>
      </c>
      <c r="Q59" s="277">
        <f t="shared" si="10"/>
        <v>18.5</v>
      </c>
    </row>
    <row r="60" spans="1:17" ht="15.6">
      <c r="A60" s="277">
        <f t="shared" si="0"/>
        <v>20</v>
      </c>
      <c r="B60" s="277">
        <f t="shared" si="8"/>
        <v>19.5</v>
      </c>
      <c r="C60" s="277">
        <f t="shared" si="1"/>
        <v>0.99990000000000001</v>
      </c>
      <c r="D60" s="649">
        <f t="shared" si="9"/>
        <v>9.9999999999988987E-5</v>
      </c>
      <c r="E60" s="1105">
        <f t="shared" si="2"/>
        <v>2.4375</v>
      </c>
      <c r="F60" s="1166">
        <f t="shared" si="3"/>
        <v>2.8075000000000001</v>
      </c>
      <c r="G60" s="1"/>
      <c r="H60" s="1393">
        <f t="shared" si="4"/>
        <v>0.4</v>
      </c>
      <c r="I60" s="1392">
        <f t="shared" si="5"/>
        <v>2.1375000000000002</v>
      </c>
      <c r="J60" s="1"/>
      <c r="K60" s="1391">
        <f t="shared" si="6"/>
        <v>0.15</v>
      </c>
      <c r="L60" s="1390">
        <f t="shared" si="7"/>
        <v>2.3574999999999999</v>
      </c>
      <c r="M60" s="1"/>
      <c r="P60" s="277">
        <v>20</v>
      </c>
      <c r="Q60" s="277">
        <f t="shared" si="10"/>
        <v>19.5</v>
      </c>
    </row>
    <row r="61" spans="1:17" ht="15.6">
      <c r="A61" s="1"/>
      <c r="B61" s="277"/>
      <c r="C61" s="277"/>
      <c r="D61" s="649"/>
      <c r="E61" s="1105"/>
      <c r="F61" s="1"/>
      <c r="G61" s="1"/>
      <c r="H61" s="1"/>
      <c r="I61" s="1"/>
      <c r="J61" s="1"/>
      <c r="K61" s="1"/>
      <c r="L61" s="1"/>
      <c r="M61" s="1"/>
    </row>
    <row r="62" spans="1:17" ht="15.6">
      <c r="A62" s="1"/>
      <c r="B62" s="277" t="s">
        <v>2385</v>
      </c>
      <c r="C62" s="277" t="s">
        <v>2384</v>
      </c>
      <c r="D62" s="649"/>
      <c r="E62" s="1389" t="s">
        <v>2386</v>
      </c>
      <c r="F62" s="1"/>
      <c r="G62" s="1"/>
      <c r="H62" s="1"/>
      <c r="I62" s="1"/>
      <c r="J62" s="1"/>
      <c r="K62" s="1"/>
      <c r="L62" s="1"/>
      <c r="M62" s="1"/>
    </row>
    <row r="63" spans="1:17" ht="15.6">
      <c r="A63" s="1"/>
      <c r="B63" s="1175">
        <f>F45</f>
        <v>0.9325</v>
      </c>
      <c r="C63" s="277">
        <f>C45</f>
        <v>0.71909999999999996</v>
      </c>
      <c r="D63" s="649"/>
      <c r="E63" s="1105" t="s">
        <v>2385</v>
      </c>
      <c r="F63" s="277" t="s">
        <v>2384</v>
      </c>
      <c r="G63" s="275" t="s">
        <v>1952</v>
      </c>
      <c r="H63" s="1"/>
      <c r="I63" s="1"/>
      <c r="J63" s="1"/>
      <c r="K63" s="1"/>
      <c r="L63" s="1"/>
      <c r="M63" s="1"/>
    </row>
    <row r="64" spans="1:17" ht="15.6">
      <c r="A64" s="1"/>
      <c r="B64" s="1175">
        <f>F46</f>
        <v>1.0575000000000001</v>
      </c>
      <c r="C64" s="277">
        <f>C46</f>
        <v>0.81820000000000004</v>
      </c>
      <c r="D64" s="649"/>
      <c r="E64" s="1105">
        <v>1</v>
      </c>
      <c r="F64" s="649">
        <f>(E64-B63)/(B64-B63)*(C64-C63)+C63</f>
        <v>0.77261399999999991</v>
      </c>
      <c r="G64" s="1361">
        <f>1-F64</f>
        <v>0.22738600000000009</v>
      </c>
      <c r="H64" s="1"/>
      <c r="I64" s="1"/>
      <c r="J64" s="1"/>
      <c r="K64" s="1"/>
      <c r="L64" s="1"/>
      <c r="M64" s="1"/>
    </row>
    <row r="65" spans="1:13" ht="15.6">
      <c r="A65" s="1"/>
      <c r="B65" s="1"/>
      <c r="C65" s="1"/>
      <c r="D65" s="1"/>
      <c r="E65" s="1"/>
      <c r="F65" s="1"/>
      <c r="G65" s="1"/>
      <c r="H65" s="1"/>
      <c r="I65" s="1"/>
      <c r="J65" s="1"/>
      <c r="K65" s="1"/>
      <c r="L65" s="1"/>
      <c r="M65" s="1"/>
    </row>
    <row r="66" spans="1:13" ht="16.2">
      <c r="A66" s="376" t="s">
        <v>2383</v>
      </c>
      <c r="B66" s="22"/>
      <c r="C66" s="22"/>
      <c r="D66" s="22"/>
      <c r="E66" s="22"/>
      <c r="F66" s="22"/>
      <c r="G66" s="22"/>
      <c r="H66" s="342"/>
      <c r="I66" s="342"/>
      <c r="J66" s="341"/>
      <c r="K66" s="341"/>
      <c r="L66" s="341"/>
      <c r="M66" s="22"/>
    </row>
    <row r="67" spans="1:13" ht="16.2" customHeight="1">
      <c r="A67" s="1941" t="s">
        <v>2382</v>
      </c>
      <c r="B67" s="1942"/>
      <c r="C67" s="1942"/>
      <c r="D67" s="1942"/>
      <c r="E67" s="1942"/>
      <c r="F67" s="1942"/>
      <c r="G67" s="1942"/>
      <c r="H67" s="1942"/>
      <c r="I67" s="1942"/>
      <c r="J67" s="1942"/>
      <c r="K67" s="1942"/>
      <c r="L67" s="1942"/>
      <c r="M67" s="1942"/>
    </row>
    <row r="68" spans="1:13" ht="16.2">
      <c r="A68" s="1161"/>
      <c r="B68" s="22"/>
      <c r="C68" s="22"/>
      <c r="D68" s="22"/>
      <c r="E68" s="22"/>
      <c r="F68" s="22"/>
      <c r="G68" s="22"/>
      <c r="H68" s="342"/>
      <c r="I68" s="342"/>
      <c r="J68" s="341"/>
      <c r="K68" s="341"/>
      <c r="L68" s="341"/>
      <c r="M68" s="22"/>
    </row>
    <row r="69" spans="1:13" ht="15.6">
      <c r="A69" s="22" t="s">
        <v>9</v>
      </c>
      <c r="B69" s="22" t="s">
        <v>2381</v>
      </c>
      <c r="C69" s="22"/>
      <c r="D69" s="22"/>
      <c r="E69" s="22"/>
      <c r="F69" s="22"/>
      <c r="G69" s="22"/>
      <c r="H69" s="22"/>
      <c r="I69" s="22"/>
      <c r="J69" s="22"/>
      <c r="K69" s="22"/>
      <c r="L69" s="22"/>
      <c r="M69" s="22"/>
    </row>
    <row r="70" spans="1:13" ht="16.2">
      <c r="A70" s="342"/>
      <c r="B70" s="342" t="s">
        <v>64</v>
      </c>
      <c r="C70" s="342"/>
      <c r="D70" s="341"/>
      <c r="E70" s="341"/>
      <c r="F70" s="22"/>
      <c r="G70" s="22"/>
      <c r="H70" s="22"/>
      <c r="I70" s="325"/>
      <c r="J70" s="22"/>
      <c r="K70" s="22"/>
      <c r="L70" s="22"/>
      <c r="M70" s="22"/>
    </row>
    <row r="71" spans="1:13" ht="15.6">
      <c r="A71" s="1"/>
      <c r="B71" s="1"/>
      <c r="C71" s="1"/>
      <c r="D71" s="1"/>
      <c r="E71" s="1"/>
      <c r="F71" s="1"/>
      <c r="G71" s="1"/>
      <c r="H71" s="1"/>
      <c r="I71" s="1"/>
      <c r="J71" s="1"/>
      <c r="K71" s="1"/>
      <c r="L71" s="1"/>
      <c r="M71" s="1"/>
    </row>
    <row r="72" spans="1:13" ht="15.6">
      <c r="A72" s="1"/>
      <c r="B72" s="757" cm="1">
        <f t="array" ref="B72">SUMPRODUCT($D$41:$D$60*$I$41:$I$60)/SUM($D$41:$D$60)</f>
        <v>0.45021439643964406</v>
      </c>
      <c r="C72" s="1388" t="s">
        <v>2380</v>
      </c>
      <c r="D72" s="1388"/>
      <c r="E72" s="138"/>
      <c r="F72" s="1"/>
      <c r="G72" s="1"/>
      <c r="H72" s="1"/>
      <c r="I72" s="1"/>
      <c r="J72" s="1"/>
      <c r="K72" s="1"/>
      <c r="L72" s="1"/>
      <c r="M72" s="1"/>
    </row>
    <row r="73" spans="1:13" ht="15.6">
      <c r="A73" s="1"/>
      <c r="B73" s="1"/>
      <c r="C73" s="1"/>
      <c r="D73" s="1"/>
      <c r="E73" s="1"/>
      <c r="F73" s="1"/>
      <c r="G73" s="1"/>
      <c r="H73" s="1"/>
      <c r="I73" s="1"/>
      <c r="J73" s="1"/>
      <c r="K73" s="1"/>
      <c r="L73" s="1"/>
      <c r="M73" s="1"/>
    </row>
    <row r="74" spans="1:13">
      <c r="A74" s="1943" t="s">
        <v>2379</v>
      </c>
      <c r="B74" s="1943"/>
      <c r="C74" s="1943"/>
      <c r="D74" s="1943"/>
      <c r="E74" s="1943"/>
      <c r="F74" s="1943"/>
      <c r="G74" s="1943"/>
      <c r="H74" s="1943"/>
      <c r="I74" s="1943"/>
      <c r="J74" s="1943"/>
      <c r="K74" s="1943"/>
      <c r="L74" s="1943"/>
      <c r="M74" s="1943"/>
    </row>
    <row r="75" spans="1:13">
      <c r="A75" s="1943"/>
      <c r="B75" s="1943"/>
      <c r="C75" s="1943"/>
      <c r="D75" s="1943"/>
      <c r="E75" s="1943"/>
      <c r="F75" s="1943"/>
      <c r="G75" s="1943"/>
      <c r="H75" s="1943"/>
      <c r="I75" s="1943"/>
      <c r="J75" s="1943"/>
      <c r="K75" s="1943"/>
      <c r="L75" s="1943"/>
      <c r="M75" s="1943"/>
    </row>
    <row r="76" spans="1:13" ht="15.6">
      <c r="A76" s="1037"/>
      <c r="B76" s="1037"/>
      <c r="C76" s="1037"/>
      <c r="D76" s="1037"/>
      <c r="E76" s="1037"/>
      <c r="F76" s="1037"/>
      <c r="G76" s="1037"/>
      <c r="H76" s="1037"/>
      <c r="I76" s="1387"/>
      <c r="J76" s="1387"/>
      <c r="K76" s="1384" t="s">
        <v>1997</v>
      </c>
      <c r="L76" s="1037"/>
      <c r="M76" s="1037"/>
    </row>
    <row r="77" spans="1:13" ht="15.6">
      <c r="A77" s="1161" t="s">
        <v>2378</v>
      </c>
      <c r="B77" s="325"/>
      <c r="C77" s="1386"/>
      <c r="D77" s="325"/>
      <c r="E77" s="1037"/>
      <c r="F77" s="1037"/>
      <c r="G77" s="1037"/>
      <c r="H77" s="1037"/>
      <c r="I77" s="793"/>
      <c r="J77" s="792" t="s">
        <v>2377</v>
      </c>
      <c r="K77" s="1383">
        <v>0.3</v>
      </c>
      <c r="L77" s="22"/>
      <c r="M77" s="1384" t="s">
        <v>1998</v>
      </c>
    </row>
    <row r="78" spans="1:13" ht="15.6">
      <c r="A78" s="1161" t="s">
        <v>2376</v>
      </c>
      <c r="B78" s="325"/>
      <c r="C78" s="1385"/>
      <c r="D78" s="325"/>
      <c r="E78" s="1037"/>
      <c r="F78" s="1037"/>
      <c r="G78" s="1037"/>
      <c r="H78" s="1037"/>
      <c r="I78" s="793"/>
      <c r="J78" s="792" t="s">
        <v>2375</v>
      </c>
      <c r="K78" s="1383">
        <v>0.15</v>
      </c>
      <c r="L78" s="1384" t="s">
        <v>2370</v>
      </c>
      <c r="M78" s="1383">
        <v>0.7</v>
      </c>
    </row>
    <row r="79" spans="1:13" ht="15.6">
      <c r="A79" s="1161" t="s">
        <v>2374</v>
      </c>
      <c r="B79" s="325"/>
      <c r="C79" s="325"/>
      <c r="D79" s="1385"/>
      <c r="E79" s="1037"/>
      <c r="F79" s="1037"/>
      <c r="G79" s="1037"/>
      <c r="H79" s="1037"/>
      <c r="I79" s="793"/>
      <c r="J79" s="792" t="s">
        <v>2373</v>
      </c>
      <c r="K79" s="1383">
        <v>0.25</v>
      </c>
      <c r="L79" s="1384" t="s">
        <v>2370</v>
      </c>
      <c r="M79" s="1383">
        <v>0.6</v>
      </c>
    </row>
    <row r="80" spans="1:13" ht="15.6">
      <c r="A80" s="1161" t="s">
        <v>2372</v>
      </c>
      <c r="B80" s="1385"/>
      <c r="C80" s="325"/>
      <c r="D80" s="325"/>
      <c r="E80" s="1037"/>
      <c r="F80" s="1037"/>
      <c r="G80" s="1037"/>
      <c r="H80" s="1037"/>
      <c r="I80" s="793"/>
      <c r="J80" s="792" t="s">
        <v>2371</v>
      </c>
      <c r="K80" s="1383">
        <v>0.35</v>
      </c>
      <c r="L80" s="1384" t="s">
        <v>2370</v>
      </c>
      <c r="M80" s="1383">
        <v>0.4</v>
      </c>
    </row>
    <row r="81" spans="1:13">
      <c r="A81" s="1037"/>
      <c r="B81" s="1037"/>
      <c r="C81" s="1037"/>
      <c r="D81" s="1037"/>
      <c r="E81" s="1037"/>
      <c r="F81" s="1037"/>
      <c r="G81" s="1037"/>
      <c r="H81" s="1037"/>
      <c r="I81" s="1037"/>
      <c r="J81" s="1037"/>
      <c r="K81" s="1037"/>
      <c r="L81" s="1037"/>
      <c r="M81" s="1037"/>
    </row>
    <row r="82" spans="1:13" ht="15.6">
      <c r="A82" s="22" t="s">
        <v>7</v>
      </c>
      <c r="B82" s="22" t="s">
        <v>2369</v>
      </c>
      <c r="C82" s="22"/>
      <c r="D82" s="22"/>
      <c r="E82" s="22"/>
      <c r="F82" s="22"/>
      <c r="G82" s="22"/>
      <c r="H82" s="22"/>
      <c r="I82" s="22"/>
      <c r="J82" s="22"/>
      <c r="K82" s="22"/>
      <c r="L82" s="22"/>
      <c r="M82" s="22"/>
    </row>
    <row r="83" spans="1:13" ht="16.2">
      <c r="A83" s="342"/>
      <c r="B83" s="342" t="s">
        <v>64</v>
      </c>
      <c r="C83" s="342"/>
      <c r="D83" s="341"/>
      <c r="E83" s="341"/>
      <c r="F83" s="22"/>
      <c r="G83" s="22"/>
      <c r="H83" s="22"/>
      <c r="I83" s="325"/>
      <c r="J83" s="22"/>
      <c r="K83" s="22"/>
      <c r="L83" s="22"/>
      <c r="M83" s="22"/>
    </row>
    <row r="85" spans="1:13" ht="15.6">
      <c r="B85" s="757" cm="1">
        <f t="array" ref="B85">SUMPRODUCT($D$41:$D$60*$L$41:$L$60)/SUM($D$41:$D$60)</f>
        <v>0.81115849084908509</v>
      </c>
      <c r="C85" s="1382" t="s">
        <v>2368</v>
      </c>
      <c r="D85" s="1381"/>
      <c r="E85" s="1381"/>
    </row>
    <row r="87" spans="1:13" ht="15.6">
      <c r="A87" s="22" t="s">
        <v>4</v>
      </c>
      <c r="B87" s="22" t="s">
        <v>2367</v>
      </c>
      <c r="C87" s="22"/>
      <c r="D87" s="22"/>
      <c r="E87" s="22"/>
      <c r="F87" s="22"/>
      <c r="G87" s="22"/>
      <c r="H87" s="22"/>
      <c r="I87" s="22"/>
      <c r="J87" s="22"/>
      <c r="K87" s="22"/>
      <c r="L87" s="22"/>
      <c r="M87" s="22"/>
    </row>
    <row r="88" spans="1:13" ht="16.2">
      <c r="A88" s="342"/>
      <c r="B88" s="342" t="s">
        <v>64</v>
      </c>
      <c r="C88" s="342"/>
      <c r="D88" s="341"/>
      <c r="E88" s="341"/>
      <c r="F88" s="22"/>
      <c r="G88" s="22"/>
      <c r="H88" s="22"/>
      <c r="I88" s="325"/>
      <c r="J88" s="22"/>
      <c r="K88" s="22"/>
      <c r="L88" s="22"/>
      <c r="M88" s="22"/>
    </row>
    <row r="89" spans="1:13" ht="15.6">
      <c r="A89" s="1"/>
      <c r="B89" s="1" t="s">
        <v>2366</v>
      </c>
      <c r="C89" s="1"/>
      <c r="D89" s="1"/>
      <c r="E89" s="1"/>
      <c r="F89" s="1"/>
      <c r="G89" s="1"/>
      <c r="H89" s="1"/>
      <c r="I89" s="1"/>
      <c r="J89" s="1"/>
      <c r="K89" s="1"/>
      <c r="L89" s="1"/>
      <c r="M89" s="1"/>
    </row>
    <row r="90" spans="1:13" ht="15.6">
      <c r="A90" s="1"/>
      <c r="B90" s="1" t="s">
        <v>2190</v>
      </c>
      <c r="C90" s="1"/>
      <c r="D90" s="757" cm="1">
        <f t="array" ref="D90">SUMPRODUCT($D$41:$D$60*$K$41:$K$60)/SUM($D$41:$D$60)</f>
        <v>0.29094409440944091</v>
      </c>
      <c r="F90" s="1"/>
      <c r="G90" s="1"/>
      <c r="H90" s="1"/>
      <c r="I90" s="1"/>
      <c r="J90" s="1"/>
      <c r="K90" s="1"/>
      <c r="L90" s="1"/>
      <c r="M90" s="1"/>
    </row>
    <row r="91" spans="1:13" ht="15.6">
      <c r="A91" s="1"/>
      <c r="B91" s="1" t="s">
        <v>2365</v>
      </c>
      <c r="C91" s="1"/>
      <c r="D91" s="1166">
        <f>K77</f>
        <v>0.3</v>
      </c>
      <c r="E91" s="1380"/>
      <c r="F91" s="1379"/>
      <c r="G91" s="1"/>
      <c r="H91" s="1"/>
      <c r="I91" s="1"/>
      <c r="J91" s="1"/>
      <c r="K91" s="1"/>
      <c r="L91" s="1"/>
      <c r="M91" s="1"/>
    </row>
    <row r="92" spans="1:13" ht="15.6">
      <c r="A92" s="1"/>
      <c r="B92" s="1" t="s">
        <v>2364</v>
      </c>
      <c r="C92" s="1"/>
      <c r="D92" s="1358">
        <f>D90/D91-1</f>
        <v>-3.0186351968530256E-2</v>
      </c>
      <c r="E92" s="1"/>
      <c r="F92" s="1"/>
      <c r="G92" s="1"/>
      <c r="H92" s="1"/>
      <c r="I92" s="1"/>
      <c r="J92" s="1"/>
      <c r="K92" s="1"/>
      <c r="L92" s="1"/>
      <c r="M92" s="1"/>
    </row>
    <row r="93" spans="1:13" ht="15.6">
      <c r="A93" s="1"/>
      <c r="C93" s="1"/>
      <c r="D93" s="1"/>
      <c r="E93" s="1"/>
      <c r="F93" s="1"/>
      <c r="G93" s="1"/>
      <c r="H93" s="1"/>
      <c r="I93" s="1"/>
      <c r="J93" s="1"/>
      <c r="K93" s="1"/>
      <c r="L93" s="1"/>
      <c r="M93" s="1"/>
    </row>
    <row r="94" spans="1:13" ht="15.6">
      <c r="B94" s="1" t="s">
        <v>2363</v>
      </c>
    </row>
  </sheetData>
  <mergeCells count="3">
    <mergeCell ref="A3:M3"/>
    <mergeCell ref="A67:M67"/>
    <mergeCell ref="A74:M75"/>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4E1DA-BC0B-4C2D-9934-0DC47FE8861A}">
  <dimension ref="A1:M49"/>
  <sheetViews>
    <sheetView workbookViewId="0">
      <selection activeCell="B38" sqref="B38"/>
    </sheetView>
  </sheetViews>
  <sheetFormatPr defaultColWidth="8.88671875" defaultRowHeight="14.4"/>
  <cols>
    <col min="1" max="1" width="8.88671875" style="1402"/>
    <col min="2" max="2" width="16.109375" style="1402" customWidth="1"/>
    <col min="3" max="11" width="15.6640625" style="1402" customWidth="1"/>
    <col min="12" max="16384" width="8.88671875" style="1402"/>
  </cols>
  <sheetData>
    <row r="1" spans="1:13" ht="18">
      <c r="A1" s="23" t="s">
        <v>839</v>
      </c>
      <c r="B1" s="497"/>
      <c r="C1" s="342" t="s">
        <v>38</v>
      </c>
      <c r="D1" s="22"/>
      <c r="E1" s="22"/>
      <c r="F1" s="22"/>
      <c r="G1" s="22"/>
      <c r="H1" s="22"/>
      <c r="I1" s="22"/>
      <c r="J1" s="22"/>
      <c r="K1" s="22"/>
      <c r="L1" s="22"/>
      <c r="M1" s="22"/>
    </row>
    <row r="2" spans="1:13" s="1415" customFormat="1" ht="16.2">
      <c r="A2" s="497"/>
      <c r="B2" s="497"/>
      <c r="C2" s="342"/>
      <c r="D2" s="22"/>
      <c r="E2" s="22"/>
      <c r="F2" s="22"/>
      <c r="G2" s="22"/>
      <c r="H2" s="22"/>
      <c r="I2" s="22"/>
      <c r="J2" s="22"/>
      <c r="K2" s="22"/>
      <c r="L2" s="22"/>
      <c r="M2" s="22"/>
    </row>
    <row r="3" spans="1:13" s="1415" customFormat="1" ht="16.2">
      <c r="A3" s="22" t="s">
        <v>758</v>
      </c>
      <c r="B3" s="497"/>
      <c r="C3" s="342"/>
      <c r="D3" s="22"/>
      <c r="E3" s="22"/>
      <c r="F3" s="22"/>
      <c r="G3" s="22"/>
      <c r="H3" s="22"/>
      <c r="I3" s="22"/>
      <c r="J3" s="22"/>
      <c r="K3" s="22"/>
      <c r="L3" s="22"/>
      <c r="M3" s="22"/>
    </row>
    <row r="4" spans="1:13" s="1415" customFormat="1" ht="15.6">
      <c r="A4" s="8"/>
      <c r="B4" s="8"/>
      <c r="C4" s="8"/>
      <c r="D4" s="8"/>
      <c r="E4" s="8"/>
      <c r="F4" s="8"/>
      <c r="G4" s="8"/>
      <c r="H4" s="8"/>
      <c r="I4" s="8"/>
      <c r="J4" s="8"/>
      <c r="K4" s="8"/>
      <c r="L4" s="8"/>
      <c r="M4" s="8"/>
    </row>
    <row r="5" spans="1:13" s="1415" customFormat="1" ht="15.6" customHeight="1">
      <c r="A5" s="789" t="s">
        <v>80</v>
      </c>
      <c r="B5" s="1741" t="s">
        <v>2431</v>
      </c>
      <c r="C5" s="1741"/>
      <c r="D5" s="1741"/>
      <c r="E5" s="1741"/>
      <c r="F5" s="1741"/>
      <c r="G5" s="1741"/>
      <c r="H5" s="1741"/>
      <c r="I5" s="1741"/>
      <c r="J5" s="1741"/>
      <c r="K5" s="1741"/>
      <c r="L5" s="1741"/>
      <c r="M5" s="1741"/>
    </row>
    <row r="6" spans="1:13" s="1415" customFormat="1" ht="16.2">
      <c r="A6" s="789"/>
      <c r="B6" s="1832" t="s">
        <v>64</v>
      </c>
      <c r="C6" s="1832"/>
      <c r="D6" s="1832"/>
      <c r="E6" s="1832"/>
      <c r="F6" s="1832"/>
      <c r="G6" s="1832"/>
      <c r="H6" s="1832"/>
      <c r="I6" s="1832"/>
      <c r="J6" s="1832"/>
      <c r="K6" s="1832"/>
      <c r="L6" s="1832"/>
      <c r="M6" s="1832"/>
    </row>
    <row r="7" spans="1:13" s="1415" customFormat="1" ht="15.6">
      <c r="A7" s="1699" t="s">
        <v>2430</v>
      </c>
      <c r="B7" s="1699"/>
      <c r="C7" s="1699"/>
      <c r="D7" s="1699"/>
      <c r="E7" s="1699"/>
      <c r="F7" s="1699"/>
      <c r="G7" s="1699"/>
      <c r="H7" s="1699"/>
      <c r="I7" s="1699"/>
      <c r="J7" s="1699"/>
      <c r="K7" s="1699"/>
      <c r="L7" s="1699"/>
      <c r="M7" s="1699"/>
    </row>
    <row r="8" spans="1:13" s="1415" customFormat="1" ht="15.6">
      <c r="A8" s="1699"/>
      <c r="B8" s="1699"/>
      <c r="C8" s="1699"/>
      <c r="D8" s="1699"/>
      <c r="E8" s="1699"/>
      <c r="F8" s="1699"/>
      <c r="G8" s="1699"/>
      <c r="H8" s="1699"/>
      <c r="I8" s="1699"/>
      <c r="J8" s="1699"/>
      <c r="K8" s="1699"/>
      <c r="L8" s="1699"/>
      <c r="M8" s="1699"/>
    </row>
    <row r="9" spans="1:13" s="1415" customFormat="1" ht="15.6">
      <c r="A9" s="1699"/>
      <c r="B9" s="1699"/>
      <c r="C9" s="1699"/>
      <c r="D9" s="1699"/>
      <c r="E9" s="1699"/>
      <c r="F9" s="1699"/>
      <c r="G9" s="1699"/>
      <c r="H9" s="1699"/>
      <c r="I9" s="1699"/>
      <c r="J9" s="1699"/>
      <c r="K9" s="1699"/>
      <c r="L9" s="1699"/>
      <c r="M9" s="1699"/>
    </row>
    <row r="10" spans="1:13" s="1415" customFormat="1" ht="15.6" customHeight="1">
      <c r="A10" s="1741" t="s">
        <v>2429</v>
      </c>
      <c r="B10" s="1741"/>
      <c r="C10" s="1741"/>
      <c r="D10" s="1741"/>
      <c r="E10" s="1741"/>
      <c r="F10" s="1741"/>
      <c r="G10" s="1741"/>
      <c r="H10" s="1741"/>
      <c r="I10" s="1741"/>
      <c r="J10" s="1741"/>
      <c r="K10" s="1741"/>
      <c r="L10" s="1741"/>
      <c r="M10" s="1741"/>
    </row>
    <row r="11" spans="1:13" s="1415" customFormat="1" ht="15.6" customHeight="1">
      <c r="A11" s="520"/>
      <c r="B11" s="520"/>
      <c r="C11" s="520"/>
      <c r="D11" s="520"/>
      <c r="E11" s="520"/>
      <c r="F11" s="520"/>
      <c r="G11" s="520"/>
      <c r="H11" s="520"/>
      <c r="I11" s="520"/>
      <c r="J11" s="520"/>
      <c r="K11" s="520"/>
      <c r="L11" s="520"/>
      <c r="M11" s="520"/>
    </row>
    <row r="12" spans="1:13" s="1415" customFormat="1" ht="15.6">
      <c r="A12" s="789" t="s">
        <v>9</v>
      </c>
      <c r="B12" s="1741" t="s">
        <v>2428</v>
      </c>
      <c r="C12" s="1741"/>
      <c r="D12" s="1741"/>
      <c r="E12" s="1741"/>
      <c r="F12" s="1741"/>
      <c r="G12" s="1741"/>
      <c r="H12" s="1741"/>
      <c r="I12" s="1741"/>
      <c r="J12" s="1741"/>
      <c r="K12" s="1741"/>
      <c r="L12" s="1741"/>
      <c r="M12" s="1741"/>
    </row>
    <row r="13" spans="1:13" s="1415" customFormat="1" ht="16.2">
      <c r="A13" s="789"/>
      <c r="B13" s="1832" t="s">
        <v>64</v>
      </c>
      <c r="C13" s="1832"/>
      <c r="D13" s="1832"/>
      <c r="E13" s="1832"/>
      <c r="F13" s="1832"/>
      <c r="G13" s="1832"/>
      <c r="H13" s="1832"/>
      <c r="I13" s="1832"/>
      <c r="J13" s="1832"/>
      <c r="K13" s="1832"/>
      <c r="L13" s="1832"/>
      <c r="M13" s="1832"/>
    </row>
    <row r="14" spans="1:13" s="1415" customFormat="1" ht="15.6">
      <c r="A14" s="1699" t="s">
        <v>2427</v>
      </c>
      <c r="B14" s="1699"/>
      <c r="C14" s="1699"/>
      <c r="D14" s="1699"/>
      <c r="E14" s="1699"/>
      <c r="F14" s="1699"/>
      <c r="G14" s="1699"/>
      <c r="H14" s="1699"/>
      <c r="I14" s="1699"/>
      <c r="J14" s="1699"/>
      <c r="K14" s="1699"/>
      <c r="L14" s="1699"/>
      <c r="M14" s="1699"/>
    </row>
    <row r="15" spans="1:13" s="1415" customFormat="1" ht="15.6">
      <c r="A15" s="1699"/>
      <c r="B15" s="1699"/>
      <c r="C15" s="1699"/>
      <c r="D15" s="1699"/>
      <c r="E15" s="1699"/>
      <c r="F15" s="1699"/>
      <c r="G15" s="1699"/>
      <c r="H15" s="1699"/>
      <c r="I15" s="1699"/>
      <c r="J15" s="1699"/>
      <c r="K15" s="1699"/>
      <c r="L15" s="1699"/>
      <c r="M15" s="1699"/>
    </row>
    <row r="16" spans="1:13" s="1415" customFormat="1" ht="15.6">
      <c r="A16" s="1699"/>
      <c r="B16" s="1699"/>
      <c r="C16" s="1699"/>
      <c r="D16" s="1699"/>
      <c r="E16" s="1699"/>
      <c r="F16" s="1699"/>
      <c r="G16" s="1699"/>
      <c r="H16" s="1699"/>
      <c r="I16" s="1699"/>
      <c r="J16" s="1699"/>
      <c r="K16" s="1699"/>
      <c r="L16" s="1699"/>
      <c r="M16" s="1699"/>
    </row>
    <row r="17" spans="1:13" s="1415" customFormat="1" ht="15.6" customHeight="1">
      <c r="A17" s="1741" t="s">
        <v>2426</v>
      </c>
      <c r="B17" s="1741"/>
      <c r="C17" s="1741"/>
      <c r="D17" s="1741"/>
      <c r="E17" s="1741"/>
      <c r="F17" s="1741"/>
      <c r="G17" s="1741"/>
      <c r="H17" s="1741"/>
      <c r="I17" s="1741"/>
      <c r="J17" s="1741"/>
      <c r="K17" s="1741"/>
      <c r="L17" s="1741"/>
      <c r="M17" s="1741"/>
    </row>
    <row r="18" spans="1:13" s="1415" customFormat="1" ht="15.6" customHeight="1">
      <c r="A18" s="1741"/>
      <c r="B18" s="1741"/>
      <c r="C18" s="1741"/>
      <c r="D18" s="1741"/>
      <c r="E18" s="1741"/>
      <c r="F18" s="1741"/>
      <c r="G18" s="1741"/>
      <c r="H18" s="1741"/>
      <c r="I18" s="1741"/>
      <c r="J18" s="1741"/>
      <c r="K18" s="1741"/>
      <c r="L18" s="1741"/>
      <c r="M18" s="1741"/>
    </row>
    <row r="19" spans="1:13" s="1415" customFormat="1" ht="15.6">
      <c r="A19" s="376" t="s">
        <v>2425</v>
      </c>
      <c r="B19" s="376"/>
      <c r="C19" s="376"/>
      <c r="D19" s="376"/>
      <c r="E19" s="376"/>
      <c r="F19" s="376"/>
      <c r="G19" s="376"/>
      <c r="H19" s="376"/>
      <c r="I19" s="376"/>
      <c r="J19" s="376"/>
      <c r="K19" s="1421"/>
      <c r="L19" s="1422" t="s">
        <v>2424</v>
      </c>
      <c r="M19" s="1421"/>
    </row>
    <row r="20" spans="1:13" s="1415" customFormat="1" ht="15.6">
      <c r="A20" s="519" t="s">
        <v>2423</v>
      </c>
      <c r="B20" s="376"/>
      <c r="C20" s="376"/>
      <c r="D20" s="376"/>
      <c r="E20" s="376"/>
      <c r="F20" s="376"/>
      <c r="G20" s="376"/>
      <c r="H20" s="376"/>
      <c r="I20" s="1421"/>
      <c r="J20" s="1420" t="s">
        <v>2422</v>
      </c>
      <c r="K20" s="1416">
        <v>300</v>
      </c>
      <c r="L20" s="1416" t="s">
        <v>2246</v>
      </c>
      <c r="M20" s="1416">
        <v>400</v>
      </c>
    </row>
    <row r="21" spans="1:13" s="1415" customFormat="1" ht="15.6">
      <c r="A21" s="519" t="s">
        <v>2421</v>
      </c>
      <c r="B21" s="376"/>
      <c r="C21" s="376"/>
      <c r="D21" s="376"/>
      <c r="E21" s="376"/>
      <c r="F21" s="376"/>
      <c r="G21" s="376"/>
      <c r="H21" s="376"/>
      <c r="I21" s="376"/>
      <c r="J21" s="1421"/>
      <c r="K21" s="1420" t="s">
        <v>2420</v>
      </c>
      <c r="L21" s="1419" t="s">
        <v>272</v>
      </c>
      <c r="M21" s="1419">
        <v>48</v>
      </c>
    </row>
    <row r="22" spans="1:13" s="1415" customFormat="1" ht="15.6">
      <c r="A22" s="376"/>
      <c r="B22" s="376"/>
      <c r="C22" s="376"/>
      <c r="D22" s="376"/>
      <c r="E22" s="376"/>
      <c r="F22" s="376"/>
      <c r="G22" s="376"/>
      <c r="H22" s="376"/>
      <c r="I22" s="376"/>
      <c r="J22" s="376"/>
      <c r="K22" s="376"/>
      <c r="L22" s="376"/>
      <c r="M22" s="376"/>
    </row>
    <row r="23" spans="1:13" s="1415" customFormat="1" ht="46.8">
      <c r="A23" s="376"/>
      <c r="B23" s="334" t="s">
        <v>2417</v>
      </c>
      <c r="C23" s="334" t="s">
        <v>1952</v>
      </c>
      <c r="D23" s="376"/>
      <c r="E23" s="376"/>
      <c r="F23" s="376"/>
      <c r="G23" s="376"/>
      <c r="H23" s="376"/>
      <c r="I23" s="376"/>
      <c r="J23" s="376"/>
      <c r="K23" s="376"/>
      <c r="L23" s="376"/>
      <c r="M23" s="376"/>
    </row>
    <row r="24" spans="1:13" s="1415" customFormat="1" ht="15.6">
      <c r="A24" s="376"/>
      <c r="B24" s="628">
        <v>0</v>
      </c>
      <c r="C24" s="1418">
        <f>100%-SUM(C25:C28)</f>
        <v>0.94</v>
      </c>
      <c r="D24" s="376"/>
      <c r="E24" s="376"/>
      <c r="F24" s="376"/>
      <c r="G24" s="376"/>
      <c r="H24" s="376"/>
      <c r="I24" s="376"/>
      <c r="J24" s="376"/>
      <c r="K24" s="376"/>
      <c r="L24" s="376"/>
      <c r="M24" s="376"/>
    </row>
    <row r="25" spans="1:13" s="1415" customFormat="1" ht="15.6">
      <c r="A25" s="376"/>
      <c r="B25" s="628">
        <v>50</v>
      </c>
      <c r="C25" s="1418">
        <v>3.3000000000000002E-2</v>
      </c>
      <c r="D25" s="376"/>
      <c r="E25" s="376"/>
      <c r="F25" s="376"/>
      <c r="G25" s="376"/>
      <c r="H25" s="376"/>
      <c r="I25" s="376"/>
      <c r="J25" s="376"/>
      <c r="K25" s="376"/>
      <c r="L25" s="376"/>
      <c r="M25" s="376"/>
    </row>
    <row r="26" spans="1:13" s="1415" customFormat="1" ht="15.6">
      <c r="A26" s="376"/>
      <c r="B26" s="628">
        <v>100</v>
      </c>
      <c r="C26" s="1418">
        <v>1.6E-2</v>
      </c>
      <c r="D26" s="376"/>
      <c r="E26" s="376"/>
      <c r="F26" s="376"/>
      <c r="G26" s="376"/>
      <c r="H26" s="376"/>
      <c r="I26" s="376"/>
      <c r="J26" s="376"/>
      <c r="K26" s="376"/>
      <c r="L26" s="376"/>
      <c r="M26" s="376"/>
    </row>
    <row r="27" spans="1:13" s="1415" customFormat="1" ht="15.6">
      <c r="A27" s="376"/>
      <c r="B27" s="628">
        <v>200</v>
      </c>
      <c r="C27" s="1418">
        <v>8.0000000000000002E-3</v>
      </c>
      <c r="D27" s="376"/>
      <c r="E27" s="376"/>
      <c r="F27" s="376"/>
      <c r="G27" s="376"/>
      <c r="H27" s="376"/>
      <c r="I27" s="376"/>
      <c r="J27" s="376"/>
      <c r="K27" s="376"/>
      <c r="L27" s="376"/>
      <c r="M27" s="376"/>
    </row>
    <row r="28" spans="1:13" s="1415" customFormat="1" ht="15.6">
      <c r="A28" s="376"/>
      <c r="B28" s="628">
        <v>300</v>
      </c>
      <c r="C28" s="1418">
        <v>3.0000000000000001E-3</v>
      </c>
      <c r="D28" s="376"/>
      <c r="E28" s="376"/>
      <c r="F28" s="376"/>
      <c r="G28" s="376"/>
      <c r="H28" s="376"/>
      <c r="I28" s="376"/>
      <c r="J28" s="376"/>
      <c r="K28" s="376"/>
      <c r="L28" s="376"/>
      <c r="M28" s="376"/>
    </row>
    <row r="29" spans="1:13" s="1415" customFormat="1" ht="15.6">
      <c r="A29" s="376"/>
      <c r="B29" s="376"/>
      <c r="C29" s="376"/>
      <c r="D29" s="376"/>
      <c r="E29" s="376"/>
      <c r="F29" s="376"/>
      <c r="G29" s="376"/>
      <c r="H29" s="376"/>
      <c r="I29" s="376"/>
      <c r="J29" s="376"/>
      <c r="K29" s="376"/>
      <c r="L29" s="376"/>
      <c r="M29" s="376"/>
    </row>
    <row r="30" spans="1:13" s="1415" customFormat="1" ht="15.6">
      <c r="A30" s="789" t="s">
        <v>7</v>
      </c>
      <c r="B30" s="1741" t="s">
        <v>2419</v>
      </c>
      <c r="C30" s="1741"/>
      <c r="D30" s="1741"/>
      <c r="E30" s="1741"/>
      <c r="F30" s="1741"/>
      <c r="G30" s="1741"/>
      <c r="H30" s="1741"/>
      <c r="I30" s="1741"/>
      <c r="J30" s="1741"/>
      <c r="K30" s="1741"/>
      <c r="L30" s="1741"/>
      <c r="M30" s="1741"/>
    </row>
    <row r="31" spans="1:13" s="1415" customFormat="1" ht="16.2" customHeight="1">
      <c r="A31" s="789"/>
      <c r="B31" s="1832" t="s">
        <v>64</v>
      </c>
      <c r="C31" s="1832"/>
      <c r="D31" s="1832"/>
      <c r="E31" s="1832"/>
      <c r="F31" s="1832"/>
      <c r="G31" s="1832"/>
      <c r="H31" s="1832"/>
      <c r="I31" s="781"/>
      <c r="J31" s="781"/>
      <c r="K31" s="781"/>
      <c r="L31" s="1417" t="s">
        <v>2418</v>
      </c>
      <c r="M31" s="1416">
        <v>4</v>
      </c>
    </row>
    <row r="32" spans="1:13" s="569" customFormat="1" ht="15.6"/>
    <row r="33" spans="1:7" s="569" customFormat="1" ht="46.8">
      <c r="B33" s="1413" t="s">
        <v>2417</v>
      </c>
      <c r="C33" s="1413" t="s">
        <v>1952</v>
      </c>
      <c r="D33" s="1414" t="s">
        <v>2416</v>
      </c>
      <c r="E33" s="1413" t="s">
        <v>2415</v>
      </c>
      <c r="F33" s="1413" t="s">
        <v>2414</v>
      </c>
    </row>
    <row r="34" spans="1:7" s="569" customFormat="1" ht="15.6">
      <c r="B34" s="280">
        <f t="shared" ref="B34:C38" si="0">B24</f>
        <v>0</v>
      </c>
      <c r="C34" s="1412">
        <f t="shared" si="0"/>
        <v>0.94</v>
      </c>
      <c r="D34" s="1411">
        <f>SUM(C$34:C34)</f>
        <v>0.94</v>
      </c>
      <c r="E34" s="1410">
        <f>1-(1-D34)^0.5</f>
        <v>0.75505102572168203</v>
      </c>
      <c r="F34" s="1410">
        <f>E34</f>
        <v>0.75505102572168203</v>
      </c>
    </row>
    <row r="35" spans="1:7" s="569" customFormat="1" ht="15.6">
      <c r="B35" s="280">
        <f t="shared" si="0"/>
        <v>50</v>
      </c>
      <c r="C35" s="1412">
        <f t="shared" si="0"/>
        <v>3.3000000000000002E-2</v>
      </c>
      <c r="D35" s="1411">
        <f>SUM(C$34:C35)</f>
        <v>0.97299999999999998</v>
      </c>
      <c r="E35" s="1410">
        <f>1-(1-D35)^0.5</f>
        <v>0.83568323274845013</v>
      </c>
      <c r="F35" s="1410">
        <f>E35-E34</f>
        <v>8.0632207026768099E-2</v>
      </c>
    </row>
    <row r="36" spans="1:7" s="569" customFormat="1" ht="15.6">
      <c r="B36" s="280">
        <f t="shared" si="0"/>
        <v>100</v>
      </c>
      <c r="C36" s="1412">
        <f t="shared" si="0"/>
        <v>1.6E-2</v>
      </c>
      <c r="D36" s="1411">
        <f>SUM(C$34:C36)</f>
        <v>0.98899999999999999</v>
      </c>
      <c r="E36" s="1410">
        <f>1-(1-D36)^0.5</f>
        <v>0.89511911518298481</v>
      </c>
      <c r="F36" s="1410">
        <f>E36-E35</f>
        <v>5.9435882434534681E-2</v>
      </c>
    </row>
    <row r="37" spans="1:7" s="569" customFormat="1" ht="15.6">
      <c r="B37" s="280">
        <f t="shared" si="0"/>
        <v>200</v>
      </c>
      <c r="C37" s="1412">
        <f t="shared" si="0"/>
        <v>8.0000000000000002E-3</v>
      </c>
      <c r="D37" s="1411">
        <f>SUM(C$34:C37)</f>
        <v>0.997</v>
      </c>
      <c r="E37" s="1410">
        <f>1-(1-D37)^0.5</f>
        <v>0.94522774424948341</v>
      </c>
      <c r="F37" s="1410">
        <f>E37-E36</f>
        <v>5.01086290664986E-2</v>
      </c>
    </row>
    <row r="38" spans="1:7" s="569" customFormat="1" ht="15.6">
      <c r="B38" s="280">
        <f t="shared" si="0"/>
        <v>300</v>
      </c>
      <c r="C38" s="1412">
        <f t="shared" si="0"/>
        <v>3.0000000000000001E-3</v>
      </c>
      <c r="D38" s="1411">
        <f>SUM(C$34:C38)</f>
        <v>1</v>
      </c>
      <c r="E38" s="1410">
        <f>1-(1-D38)^0.5</f>
        <v>1</v>
      </c>
      <c r="F38" s="1410">
        <f>E38-E37</f>
        <v>5.4772255750516585E-2</v>
      </c>
    </row>
    <row r="39" spans="1:7" s="569" customFormat="1" ht="15.6">
      <c r="B39" s="561"/>
      <c r="C39" s="561"/>
      <c r="D39" s="561"/>
      <c r="E39" s="561"/>
      <c r="F39" s="561"/>
    </row>
    <row r="40" spans="1:7" s="569" customFormat="1" ht="15.6">
      <c r="B40" s="561"/>
      <c r="C40" s="561"/>
      <c r="D40" s="561"/>
      <c r="E40" s="561"/>
      <c r="F40" s="561"/>
    </row>
    <row r="41" spans="1:7" s="569" customFormat="1" ht="15.6">
      <c r="B41" s="561" t="s">
        <v>2413</v>
      </c>
      <c r="C41" s="1408">
        <f>SUMPRODUCT(B34:B38,C34:C38)</f>
        <v>5.75</v>
      </c>
      <c r="D41" s="561"/>
      <c r="E41" s="561"/>
      <c r="F41" s="1404"/>
    </row>
    <row r="42" spans="1:7" s="569" customFormat="1" ht="15.6">
      <c r="B42" s="561" t="s">
        <v>2412</v>
      </c>
      <c r="C42" s="1408">
        <f>SUMPRODUCT(B34:B38,F34:F38)</f>
        <v>36.428601133246573</v>
      </c>
      <c r="D42" s="561"/>
      <c r="E42" s="561"/>
      <c r="F42" s="1404"/>
    </row>
    <row r="43" spans="1:7" s="569" customFormat="1" ht="15.6">
      <c r="B43" s="561" t="s">
        <v>2411</v>
      </c>
      <c r="C43" s="1408">
        <f>C42-C41</f>
        <v>30.678601133246573</v>
      </c>
      <c r="D43" s="561"/>
      <c r="E43" s="561"/>
      <c r="F43" s="1409"/>
    </row>
    <row r="44" spans="1:7" s="569" customFormat="1" ht="15.6">
      <c r="B44" s="561" t="s">
        <v>2410</v>
      </c>
      <c r="C44" s="1408">
        <f>M31*C43</f>
        <v>122.71440453298629</v>
      </c>
      <c r="D44" s="1407"/>
      <c r="E44" s="561"/>
      <c r="F44" s="1404"/>
    </row>
    <row r="45" spans="1:7" s="569" customFormat="1" ht="15.6">
      <c r="B45" s="561"/>
      <c r="C45" s="1407"/>
      <c r="D45" s="1407"/>
      <c r="E45" s="561"/>
      <c r="F45" s="1404"/>
    </row>
    <row r="46" spans="1:7" s="569" customFormat="1" ht="15.6">
      <c r="B46" s="561" t="s">
        <v>2409</v>
      </c>
      <c r="C46" s="1406" t="b">
        <f>C44&gt;M21</f>
        <v>1</v>
      </c>
      <c r="D46" s="1406" t="str">
        <f>IF(C46,"contract passes the risk transfer test", "contract fails the risk transfer test")</f>
        <v>contract passes the risk transfer test</v>
      </c>
      <c r="E46" s="1405"/>
      <c r="F46" s="1404"/>
    </row>
    <row r="47" spans="1:7" s="569" customFormat="1" ht="15.6"/>
    <row r="48" spans="1:7">
      <c r="A48" s="1403"/>
      <c r="B48" s="1403"/>
      <c r="C48" s="1403"/>
      <c r="D48" s="1403"/>
      <c r="E48" s="1403"/>
      <c r="F48" s="1403"/>
      <c r="G48" s="1403"/>
    </row>
    <row r="49" spans="1:7">
      <c r="A49" s="1403"/>
      <c r="B49" s="1403"/>
      <c r="C49" s="1403"/>
      <c r="D49" s="1403"/>
      <c r="E49" s="1403"/>
      <c r="F49" s="1403"/>
      <c r="G49" s="1403"/>
    </row>
  </sheetData>
  <mergeCells count="10">
    <mergeCell ref="A14:M16"/>
    <mergeCell ref="A17:M18"/>
    <mergeCell ref="B30:M30"/>
    <mergeCell ref="B31:H31"/>
    <mergeCell ref="B5:M5"/>
    <mergeCell ref="B6:M6"/>
    <mergeCell ref="A7:M9"/>
    <mergeCell ref="A10:M10"/>
    <mergeCell ref="B12:M12"/>
    <mergeCell ref="B13:M13"/>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99C7-A87C-47F4-A21F-110AA19590B3}">
  <dimension ref="A1:AB41"/>
  <sheetViews>
    <sheetView workbookViewId="0">
      <selection activeCell="B38" sqref="B38"/>
    </sheetView>
  </sheetViews>
  <sheetFormatPr defaultRowHeight="14.4"/>
  <cols>
    <col min="2" max="8" width="12.77734375" customWidth="1"/>
    <col min="10" max="10" width="12.6640625" customWidth="1"/>
    <col min="11" max="11" width="6.5546875" customWidth="1"/>
    <col min="13" max="13" width="23.33203125" customWidth="1"/>
    <col min="15" max="15" width="11" bestFit="1" customWidth="1"/>
    <col min="20" max="20" width="12.109375" bestFit="1" customWidth="1"/>
    <col min="23" max="23" width="12.109375" bestFit="1" customWidth="1"/>
  </cols>
  <sheetData>
    <row r="1" spans="1:28" ht="18">
      <c r="A1" s="23" t="s">
        <v>1343</v>
      </c>
      <c r="B1" s="22"/>
      <c r="C1" s="342" t="s">
        <v>38</v>
      </c>
      <c r="D1" s="22"/>
      <c r="E1" s="22"/>
      <c r="F1" s="22"/>
      <c r="G1" s="22"/>
      <c r="H1" s="22"/>
      <c r="I1" s="22"/>
      <c r="J1" s="22"/>
      <c r="K1" s="22"/>
      <c r="L1" s="22"/>
      <c r="M1" s="22"/>
    </row>
    <row r="2" spans="1:28" ht="16.2">
      <c r="A2" s="376"/>
      <c r="B2" s="22"/>
      <c r="C2" s="22"/>
      <c r="D2" s="22"/>
      <c r="E2" s="22"/>
      <c r="F2" s="22"/>
      <c r="G2" s="22"/>
      <c r="H2" s="342"/>
      <c r="I2" s="341"/>
      <c r="J2" s="341"/>
      <c r="K2" s="341"/>
      <c r="L2" s="341"/>
      <c r="M2" s="22"/>
    </row>
    <row r="3" spans="1:28" ht="31.2" customHeight="1">
      <c r="A3" s="1706" t="s">
        <v>2455</v>
      </c>
      <c r="B3" s="1706"/>
      <c r="C3" s="1706"/>
      <c r="D3" s="1706"/>
      <c r="E3" s="1706"/>
      <c r="F3" s="1706"/>
      <c r="G3" s="1706"/>
      <c r="H3" s="1706"/>
      <c r="I3" s="1706"/>
      <c r="J3" s="1706"/>
      <c r="K3" s="1706"/>
      <c r="L3" s="1706"/>
      <c r="M3" s="1706"/>
    </row>
    <row r="4" spans="1:28" ht="16.2">
      <c r="A4" s="376"/>
      <c r="B4" s="22"/>
      <c r="C4" s="22"/>
      <c r="D4" s="22"/>
      <c r="E4" s="22"/>
      <c r="F4" s="22"/>
      <c r="G4" s="22"/>
      <c r="H4" s="342"/>
      <c r="I4" s="341"/>
      <c r="J4" s="341"/>
      <c r="K4" s="341"/>
      <c r="L4" s="341"/>
      <c r="M4" s="22"/>
    </row>
    <row r="5" spans="1:28" ht="16.2">
      <c r="A5" s="1161" t="s">
        <v>2454</v>
      </c>
      <c r="B5" s="22"/>
      <c r="C5" s="22"/>
      <c r="D5" s="22"/>
      <c r="E5" s="22"/>
      <c r="F5" s="22"/>
      <c r="G5" s="22"/>
      <c r="H5" s="422"/>
      <c r="I5" s="792" t="s">
        <v>2453</v>
      </c>
      <c r="J5" s="1438">
        <v>20000000</v>
      </c>
      <c r="K5" s="324"/>
      <c r="L5" s="324"/>
      <c r="M5" s="324"/>
      <c r="O5" s="1427"/>
      <c r="P5" s="1427"/>
      <c r="Q5" s="1427"/>
      <c r="R5" s="1427"/>
      <c r="S5" s="1427"/>
      <c r="T5" s="1427"/>
      <c r="U5" s="1427"/>
      <c r="V5" s="1431" t="s">
        <v>2453</v>
      </c>
      <c r="W5" s="1439">
        <v>23000000</v>
      </c>
      <c r="X5" s="1431"/>
      <c r="Y5" s="1431"/>
      <c r="Z5" s="1431"/>
      <c r="AA5" s="1427"/>
      <c r="AB5" s="1427"/>
    </row>
    <row r="6" spans="1:28" ht="16.2">
      <c r="A6" s="1161" t="s">
        <v>2452</v>
      </c>
      <c r="B6" s="22"/>
      <c r="C6" s="22"/>
      <c r="D6" s="22"/>
      <c r="E6" s="22"/>
      <c r="F6" s="22"/>
      <c r="G6" s="22"/>
      <c r="H6" s="422"/>
      <c r="I6" s="792" t="s">
        <v>2451</v>
      </c>
      <c r="J6" s="1438">
        <v>150000000</v>
      </c>
      <c r="K6" s="324"/>
      <c r="L6" s="324"/>
      <c r="M6" s="324"/>
      <c r="O6" s="1427"/>
      <c r="P6" s="1427"/>
      <c r="Q6" s="1427"/>
      <c r="R6" s="1427"/>
      <c r="S6" s="1427"/>
      <c r="T6" s="1427"/>
      <c r="U6" s="1427"/>
      <c r="V6" s="1431" t="s">
        <v>2451</v>
      </c>
      <c r="W6" s="1437">
        <v>150000000</v>
      </c>
      <c r="X6" s="1431"/>
      <c r="Y6" s="1431"/>
      <c r="Z6" s="1431"/>
      <c r="AA6" s="1427"/>
      <c r="AB6" s="1427"/>
    </row>
    <row r="7" spans="1:28" ht="16.2">
      <c r="A7" s="1161" t="s">
        <v>2450</v>
      </c>
      <c r="B7" s="22"/>
      <c r="C7" s="22"/>
      <c r="D7" s="22"/>
      <c r="E7" s="22"/>
      <c r="F7" s="22"/>
      <c r="G7" s="22"/>
      <c r="H7" s="422"/>
      <c r="I7" s="792" t="s">
        <v>2448</v>
      </c>
      <c r="J7" s="1383">
        <v>0.8</v>
      </c>
      <c r="K7" s="1384" t="s">
        <v>2447</v>
      </c>
      <c r="L7" s="1383">
        <v>0.1</v>
      </c>
      <c r="M7" s="1434" t="s">
        <v>2449</v>
      </c>
      <c r="O7" s="1427"/>
      <c r="P7" s="1427"/>
      <c r="Q7" s="1427"/>
      <c r="R7" s="1427"/>
      <c r="S7" s="1427"/>
      <c r="T7" s="1427"/>
      <c r="U7" s="1427"/>
      <c r="V7" s="1431" t="s">
        <v>2448</v>
      </c>
      <c r="W7" s="1433">
        <v>0.8</v>
      </c>
      <c r="X7" s="1436" t="s">
        <v>2447</v>
      </c>
      <c r="Y7" s="1435">
        <v>0.15</v>
      </c>
      <c r="Z7" s="1432" t="s">
        <v>2446</v>
      </c>
      <c r="AA7" s="1427"/>
      <c r="AB7" s="1427"/>
    </row>
    <row r="8" spans="1:28" ht="16.2">
      <c r="A8" s="1161" t="s">
        <v>2445</v>
      </c>
      <c r="B8" s="22"/>
      <c r="C8" s="22"/>
      <c r="D8" s="22"/>
      <c r="E8" s="22"/>
      <c r="F8" s="22"/>
      <c r="G8" s="22"/>
      <c r="H8" s="422"/>
      <c r="I8" s="792" t="s">
        <v>2443</v>
      </c>
      <c r="J8" s="1383">
        <v>0.5</v>
      </c>
      <c r="K8" s="1434" t="s">
        <v>2444</v>
      </c>
      <c r="L8" s="792"/>
      <c r="M8" s="792"/>
      <c r="O8" s="1427"/>
      <c r="P8" s="1427"/>
      <c r="Q8" s="1427"/>
      <c r="R8" s="1427"/>
      <c r="S8" s="1427"/>
      <c r="T8" s="1427"/>
      <c r="U8" s="1427"/>
      <c r="V8" s="1431" t="s">
        <v>2443</v>
      </c>
      <c r="W8" s="1433">
        <v>0.5</v>
      </c>
      <c r="X8" s="1432" t="s">
        <v>2442</v>
      </c>
      <c r="Y8" s="1431"/>
      <c r="Z8" s="1431"/>
      <c r="AA8" s="1427"/>
      <c r="AB8" s="1427"/>
    </row>
    <row r="9" spans="1:28" ht="16.2">
      <c r="A9" s="1161"/>
      <c r="B9" s="22"/>
      <c r="C9" s="22"/>
      <c r="D9" s="22"/>
      <c r="E9" s="22"/>
      <c r="F9" s="22"/>
      <c r="G9" s="22"/>
      <c r="H9" s="342"/>
      <c r="I9" s="341"/>
      <c r="J9" s="341"/>
      <c r="K9" s="341"/>
      <c r="L9" s="341"/>
      <c r="M9" s="22"/>
      <c r="O9" s="1427"/>
      <c r="P9" s="1427"/>
      <c r="Q9" s="1427"/>
      <c r="R9" s="1427"/>
      <c r="S9" s="1427"/>
      <c r="T9" s="1427"/>
      <c r="U9" s="1427"/>
      <c r="V9" s="1427"/>
      <c r="W9" s="1427"/>
      <c r="X9" s="1427"/>
      <c r="Y9" s="1427"/>
      <c r="Z9" s="1427"/>
      <c r="AA9" s="1427"/>
      <c r="AB9" s="1427"/>
    </row>
    <row r="10" spans="1:28" ht="16.2">
      <c r="A10" s="408" t="s">
        <v>2441</v>
      </c>
      <c r="B10" s="22"/>
      <c r="C10" s="22"/>
      <c r="D10" s="22"/>
      <c r="E10" s="22"/>
      <c r="F10" s="22"/>
      <c r="G10" s="22"/>
      <c r="H10" s="342"/>
      <c r="I10" s="341"/>
      <c r="J10" s="341"/>
      <c r="K10" s="341"/>
      <c r="L10" s="341"/>
      <c r="M10" s="22"/>
      <c r="O10" s="1427"/>
      <c r="P10" s="1427"/>
      <c r="Q10" s="1427"/>
      <c r="R10" s="1427"/>
      <c r="S10" s="1427"/>
      <c r="T10" s="1427"/>
      <c r="U10" s="1427"/>
      <c r="V10" s="1427"/>
      <c r="W10" s="1427"/>
      <c r="X10" s="1427"/>
      <c r="Y10" s="1427"/>
      <c r="Z10" s="1427"/>
      <c r="AA10" s="1427"/>
      <c r="AB10" s="1427"/>
    </row>
    <row r="11" spans="1:28" ht="16.2">
      <c r="A11" s="342"/>
      <c r="B11" s="318" t="s">
        <v>64</v>
      </c>
      <c r="C11" s="342"/>
      <c r="D11" s="341"/>
      <c r="E11" s="341"/>
      <c r="F11" s="22"/>
      <c r="G11" s="22"/>
      <c r="H11" s="22"/>
      <c r="I11" s="22"/>
      <c r="J11" s="341"/>
      <c r="K11" s="341"/>
      <c r="L11" s="341"/>
      <c r="M11" s="22"/>
      <c r="O11" s="1427"/>
      <c r="P11" s="1427"/>
      <c r="Q11" s="1427"/>
      <c r="R11" s="1427"/>
      <c r="S11" s="1427"/>
      <c r="T11" s="1427"/>
      <c r="U11" s="1427"/>
      <c r="V11" s="1427"/>
      <c r="W11" s="1427"/>
      <c r="X11" s="1427"/>
      <c r="Y11" s="1427"/>
      <c r="Z11" s="1427"/>
      <c r="AA11" s="1427"/>
      <c r="AB11" s="1427"/>
    </row>
    <row r="12" spans="1:28" ht="16.2">
      <c r="A12" s="629"/>
      <c r="B12" s="37"/>
      <c r="C12" s="37"/>
      <c r="D12" s="37"/>
      <c r="E12" s="37"/>
      <c r="F12" s="37"/>
      <c r="G12" s="37"/>
      <c r="H12" s="92"/>
      <c r="I12" s="192"/>
      <c r="J12" s="192"/>
      <c r="K12" s="192"/>
      <c r="L12" s="192"/>
      <c r="M12" s="37"/>
      <c r="O12" s="1427"/>
      <c r="P12" s="1427"/>
      <c r="Q12" s="1427"/>
      <c r="R12" s="1427"/>
      <c r="S12" s="1427"/>
      <c r="T12" s="1427"/>
      <c r="U12" s="1427"/>
      <c r="V12" s="1427"/>
      <c r="W12" s="1427"/>
      <c r="X12" s="1427"/>
      <c r="Y12" s="1427"/>
      <c r="Z12" s="1427"/>
      <c r="AA12" s="1427"/>
      <c r="AB12" s="1427"/>
    </row>
    <row r="13" spans="1:28" ht="15.6">
      <c r="A13" s="629"/>
      <c r="B13" s="1428">
        <f>J5/J6</f>
        <v>0.13333333333333333</v>
      </c>
      <c r="C13" s="37"/>
      <c r="D13" s="37"/>
      <c r="E13" s="37"/>
      <c r="F13" s="727"/>
      <c r="G13" s="727"/>
      <c r="H13" s="727"/>
      <c r="I13" s="727"/>
      <c r="J13" s="727"/>
      <c r="K13" s="727"/>
      <c r="M13" s="37"/>
      <c r="O13" s="1426">
        <f>W5/W6</f>
        <v>0.15333333333333332</v>
      </c>
      <c r="P13" s="1427"/>
      <c r="Q13" s="1427"/>
      <c r="R13" s="1427"/>
      <c r="S13" s="1427"/>
      <c r="T13" s="1427"/>
      <c r="U13" s="1427"/>
      <c r="V13" s="1427"/>
      <c r="W13" s="1427"/>
      <c r="X13" s="1427"/>
      <c r="Y13" s="1427"/>
      <c r="Z13" s="1427"/>
      <c r="AA13" s="1427"/>
      <c r="AB13" s="1427"/>
    </row>
    <row r="14" spans="1:28" ht="15.6">
      <c r="A14" s="37"/>
      <c r="B14" s="37"/>
      <c r="C14" s="37"/>
      <c r="D14" s="37"/>
      <c r="E14" s="37"/>
      <c r="F14" s="37"/>
      <c r="G14" s="37"/>
      <c r="H14" s="37"/>
      <c r="I14" s="37"/>
      <c r="J14" s="37"/>
      <c r="K14" s="37"/>
      <c r="L14" s="37"/>
      <c r="M14" s="37"/>
      <c r="O14" s="1427"/>
      <c r="P14" s="1427"/>
      <c r="Q14" s="1427"/>
      <c r="R14" s="1427"/>
      <c r="S14" s="1427"/>
      <c r="T14" s="1427"/>
      <c r="U14" s="1427"/>
      <c r="V14" s="1427"/>
      <c r="W14" s="1427"/>
      <c r="X14" s="1427"/>
      <c r="Y14" s="1427"/>
      <c r="Z14" s="1427"/>
      <c r="AA14" s="1427"/>
      <c r="AB14" s="1427"/>
    </row>
    <row r="15" spans="1:28" ht="16.2">
      <c r="A15" s="408" t="s">
        <v>2440</v>
      </c>
      <c r="B15" s="22"/>
      <c r="C15" s="22"/>
      <c r="D15" s="22"/>
      <c r="E15" s="22"/>
      <c r="F15" s="22"/>
      <c r="G15" s="22"/>
      <c r="H15" s="342"/>
      <c r="I15" s="341"/>
      <c r="J15" s="341"/>
      <c r="K15" s="341"/>
      <c r="L15" s="341"/>
      <c r="M15" s="22"/>
      <c r="O15" s="1427"/>
      <c r="P15" s="1427"/>
      <c r="Q15" s="1427"/>
      <c r="R15" s="1427"/>
      <c r="S15" s="1427"/>
      <c r="T15" s="1427"/>
      <c r="U15" s="1427"/>
      <c r="V15" s="1427"/>
      <c r="W15" s="1427"/>
      <c r="X15" s="1427"/>
      <c r="Y15" s="1427"/>
      <c r="Z15" s="1427"/>
      <c r="AA15" s="1427"/>
      <c r="AB15" s="1427"/>
    </row>
    <row r="16" spans="1:28" ht="16.2">
      <c r="A16" s="342"/>
      <c r="B16" s="318" t="s">
        <v>64</v>
      </c>
      <c r="C16" s="342"/>
      <c r="D16" s="341"/>
      <c r="E16" s="341"/>
      <c r="F16" s="22"/>
      <c r="G16" s="22"/>
      <c r="H16" s="22"/>
      <c r="I16" s="22"/>
      <c r="J16" s="341"/>
      <c r="K16" s="341"/>
      <c r="L16" s="341"/>
      <c r="M16" s="22"/>
      <c r="O16" s="1427"/>
      <c r="P16" s="1427"/>
      <c r="Q16" s="1427"/>
      <c r="R16" s="1427"/>
      <c r="S16" s="1427"/>
      <c r="T16" s="1427"/>
      <c r="U16" s="1427"/>
      <c r="V16" s="1427"/>
      <c r="W16" s="1427"/>
      <c r="X16" s="1427"/>
      <c r="Y16" s="1427"/>
      <c r="Z16" s="1427"/>
      <c r="AA16" s="1427"/>
      <c r="AB16" s="1427"/>
    </row>
    <row r="17" spans="1:28" ht="16.2">
      <c r="A17" s="629"/>
      <c r="B17" s="37"/>
      <c r="C17" s="37"/>
      <c r="D17" s="37"/>
      <c r="E17" s="37"/>
      <c r="F17" s="37"/>
      <c r="G17" s="37"/>
      <c r="H17" s="92"/>
      <c r="I17" s="192"/>
      <c r="J17" s="192"/>
      <c r="K17" s="192"/>
      <c r="L17" s="192"/>
      <c r="M17" s="37"/>
      <c r="O17" s="1427"/>
      <c r="P17" s="1427"/>
      <c r="Q17" s="1427"/>
      <c r="R17" s="1427"/>
      <c r="S17" s="1427"/>
      <c r="T17" s="1427"/>
      <c r="U17" s="1427"/>
      <c r="V17" s="1427"/>
      <c r="W17" s="1427"/>
      <c r="X17" s="1427"/>
      <c r="Y17" s="1427"/>
      <c r="Z17" s="1427"/>
      <c r="AA17" s="1427"/>
      <c r="AB17" s="1427"/>
    </row>
    <row r="18" spans="1:28" ht="16.2">
      <c r="A18" s="629"/>
      <c r="B18" s="1430">
        <f>-1*(J5-J6+J8*(J6+L7*J5-J5))</f>
        <v>64000000</v>
      </c>
      <c r="C18" s="37"/>
      <c r="D18" s="37"/>
      <c r="E18" s="37"/>
      <c r="F18" s="37"/>
      <c r="G18" s="37"/>
      <c r="H18" s="92"/>
      <c r="I18" s="192"/>
      <c r="J18" s="192"/>
      <c r="K18" s="192"/>
      <c r="L18" s="192"/>
      <c r="M18" s="37"/>
      <c r="O18" s="1429">
        <f>-1*(W5-W6+W8*(W6+Y7*W5-W5))</f>
        <v>61775000</v>
      </c>
      <c r="P18" s="1427"/>
      <c r="Q18" s="1427"/>
      <c r="R18" s="1427"/>
      <c r="S18" s="1427"/>
      <c r="T18" s="1427"/>
      <c r="U18" s="1427"/>
      <c r="V18" s="1427"/>
      <c r="W18" s="1427"/>
      <c r="X18" s="1427"/>
      <c r="Y18" s="1427"/>
      <c r="Z18" s="1427"/>
      <c r="AA18" s="1427"/>
      <c r="AB18" s="1427"/>
    </row>
    <row r="19" spans="1:28" ht="15.6">
      <c r="A19" s="37"/>
      <c r="B19" s="37"/>
      <c r="C19" s="37"/>
      <c r="D19" s="37"/>
      <c r="E19" s="37"/>
      <c r="F19" s="37"/>
      <c r="G19" s="37"/>
      <c r="H19" s="37"/>
      <c r="I19" s="37"/>
      <c r="J19" s="37"/>
      <c r="K19" s="37"/>
      <c r="L19" s="37"/>
      <c r="M19" s="37"/>
      <c r="O19" s="1427"/>
      <c r="P19" s="1427"/>
      <c r="Q19" s="1427"/>
      <c r="R19" s="1427"/>
      <c r="S19" s="1427"/>
      <c r="T19" s="1427"/>
      <c r="U19" s="1427"/>
      <c r="V19" s="1427"/>
      <c r="W19" s="1427"/>
      <c r="X19" s="1427"/>
      <c r="Y19" s="1427"/>
      <c r="Z19" s="1427"/>
      <c r="AA19" s="1427"/>
      <c r="AB19" s="1427"/>
    </row>
    <row r="20" spans="1:28" ht="16.2">
      <c r="A20" s="408" t="s">
        <v>2439</v>
      </c>
      <c r="B20" s="22"/>
      <c r="C20" s="22"/>
      <c r="D20" s="22"/>
      <c r="E20" s="22"/>
      <c r="F20" s="22"/>
      <c r="G20" s="22"/>
      <c r="H20" s="342"/>
      <c r="I20" s="341"/>
      <c r="J20" s="341"/>
      <c r="K20" s="341"/>
      <c r="L20" s="341"/>
      <c r="M20" s="22"/>
      <c r="O20" s="1427"/>
      <c r="P20" s="1427"/>
      <c r="Q20" s="1427"/>
      <c r="R20" s="1427"/>
      <c r="S20" s="1427"/>
      <c r="T20" s="1427"/>
      <c r="U20" s="1427"/>
      <c r="V20" s="1427"/>
      <c r="W20" s="1427"/>
      <c r="X20" s="1427"/>
      <c r="Y20" s="1427"/>
      <c r="Z20" s="1427"/>
      <c r="AA20" s="1427"/>
      <c r="AB20" s="1427"/>
    </row>
    <row r="21" spans="1:28" ht="16.2">
      <c r="A21" s="342"/>
      <c r="B21" s="318" t="s">
        <v>64</v>
      </c>
      <c r="C21" s="342"/>
      <c r="D21" s="341"/>
      <c r="E21" s="341"/>
      <c r="F21" s="22"/>
      <c r="G21" s="22"/>
      <c r="H21" s="22"/>
      <c r="I21" s="22"/>
      <c r="J21" s="341"/>
      <c r="K21" s="341"/>
      <c r="L21" s="341"/>
      <c r="M21" s="22"/>
      <c r="O21" s="1427"/>
      <c r="P21" s="1427"/>
      <c r="Q21" s="1427"/>
      <c r="R21" s="1427"/>
      <c r="S21" s="1427"/>
      <c r="T21" s="1427"/>
      <c r="U21" s="1427"/>
      <c r="V21" s="1427"/>
      <c r="W21" s="1427"/>
      <c r="X21" s="1427"/>
      <c r="Y21" s="1427"/>
      <c r="Z21" s="1427"/>
      <c r="AA21" s="1427"/>
      <c r="AB21" s="1427"/>
    </row>
    <row r="22" spans="1:28" ht="16.2">
      <c r="A22" s="629"/>
      <c r="B22" s="37"/>
      <c r="C22" s="37"/>
      <c r="D22" s="37"/>
      <c r="E22" s="37"/>
      <c r="F22" s="37"/>
      <c r="G22" s="37"/>
      <c r="H22" s="92"/>
      <c r="I22" s="192"/>
      <c r="J22" s="192"/>
      <c r="K22" s="192"/>
      <c r="L22" s="192"/>
      <c r="M22" s="37"/>
      <c r="O22" s="1427"/>
      <c r="P22" s="1427"/>
      <c r="Q22" s="1427"/>
      <c r="R22" s="1427"/>
      <c r="S22" s="1427"/>
      <c r="T22" s="1427"/>
      <c r="U22" s="1427"/>
      <c r="V22" s="1427"/>
      <c r="W22" s="1427"/>
      <c r="X22" s="1427"/>
      <c r="Y22" s="1427"/>
      <c r="Z22" s="1427"/>
      <c r="AA22" s="1427"/>
      <c r="AB22" s="1427"/>
    </row>
    <row r="23" spans="1:28" ht="16.2">
      <c r="A23" s="629"/>
      <c r="B23" s="1430">
        <f>J5-(1-L7)*(J7*J5)</f>
        <v>5600000</v>
      </c>
      <c r="C23" s="37"/>
      <c r="D23" s="37"/>
      <c r="E23" s="37"/>
      <c r="F23" s="37"/>
      <c r="G23" s="37"/>
      <c r="H23" s="92"/>
      <c r="I23" s="192"/>
      <c r="J23" s="192"/>
      <c r="K23" s="192"/>
      <c r="L23" s="192"/>
      <c r="M23" s="37"/>
      <c r="O23" s="1429">
        <f>W5-(1-Y7)*(W7*W5)</f>
        <v>7360000</v>
      </c>
      <c r="P23" s="1427"/>
      <c r="Q23" s="1427"/>
      <c r="R23" s="1427"/>
      <c r="S23" s="1427"/>
      <c r="T23" s="1427"/>
      <c r="U23" s="1427"/>
      <c r="V23" s="1427"/>
      <c r="W23" s="1427"/>
      <c r="X23" s="1427"/>
      <c r="Y23" s="1427"/>
      <c r="Z23" s="1427"/>
      <c r="AA23" s="1427"/>
      <c r="AB23" s="1427"/>
    </row>
    <row r="24" spans="1:28" ht="15.6">
      <c r="A24" s="37"/>
      <c r="B24" s="37"/>
      <c r="C24" s="37"/>
      <c r="D24" s="37"/>
      <c r="E24" s="37"/>
      <c r="F24" s="37"/>
      <c r="G24" s="37"/>
      <c r="H24" s="37"/>
      <c r="I24" s="37"/>
      <c r="J24" s="37"/>
      <c r="K24" s="37"/>
      <c r="L24" s="37"/>
      <c r="M24" s="37"/>
      <c r="O24" s="1427"/>
      <c r="P24" s="1427"/>
      <c r="Q24" s="1427"/>
      <c r="R24" s="1427"/>
      <c r="S24" s="1427"/>
      <c r="T24" s="1427"/>
      <c r="U24" s="1427"/>
      <c r="V24" s="1427"/>
      <c r="W24" s="1427"/>
      <c r="X24" s="1427"/>
      <c r="Y24" s="1427"/>
      <c r="Z24" s="1427"/>
      <c r="AA24" s="1427"/>
      <c r="AB24" s="1427"/>
    </row>
    <row r="25" spans="1:28" ht="16.2">
      <c r="A25" s="408" t="s">
        <v>2438</v>
      </c>
      <c r="B25" s="22"/>
      <c r="C25" s="22"/>
      <c r="D25" s="22"/>
      <c r="E25" s="22"/>
      <c r="F25" s="22"/>
      <c r="G25" s="22"/>
      <c r="H25" s="342"/>
      <c r="I25" s="341"/>
      <c r="J25" s="341"/>
      <c r="K25" s="341"/>
      <c r="L25" s="341"/>
      <c r="M25" s="22"/>
      <c r="O25" s="1427"/>
      <c r="P25" s="1427"/>
      <c r="Q25" s="1427"/>
      <c r="R25" s="1427"/>
      <c r="S25" s="1427"/>
      <c r="T25" s="1427"/>
      <c r="U25" s="1427"/>
      <c r="V25" s="1427"/>
      <c r="W25" s="1427"/>
      <c r="X25" s="1427"/>
      <c r="Y25" s="1427"/>
      <c r="Z25" s="1427"/>
      <c r="AA25" s="1427"/>
      <c r="AB25" s="1427"/>
    </row>
    <row r="26" spans="1:28" ht="16.2">
      <c r="A26" s="342"/>
      <c r="B26" s="318" t="s">
        <v>64</v>
      </c>
      <c r="C26" s="342"/>
      <c r="D26" s="341"/>
      <c r="E26" s="341"/>
      <c r="F26" s="22"/>
      <c r="G26" s="22"/>
      <c r="H26" s="22"/>
      <c r="I26" s="22"/>
      <c r="J26" s="341"/>
      <c r="K26" s="341"/>
      <c r="L26" s="341"/>
      <c r="M26" s="22"/>
      <c r="O26" s="1427"/>
      <c r="P26" s="1427"/>
      <c r="Q26" s="1427"/>
      <c r="R26" s="1427"/>
      <c r="S26" s="1427"/>
      <c r="T26" s="1427"/>
      <c r="U26" s="1427"/>
      <c r="V26" s="1427"/>
      <c r="W26" s="1427"/>
      <c r="X26" s="1427"/>
      <c r="Y26" s="1427"/>
      <c r="Z26" s="1427"/>
      <c r="AA26" s="1427"/>
      <c r="AB26" s="1427"/>
    </row>
    <row r="27" spans="1:28" ht="16.2">
      <c r="A27" s="629"/>
      <c r="B27" s="37"/>
      <c r="C27" s="37"/>
      <c r="D27" s="37"/>
      <c r="E27" s="37"/>
      <c r="F27" s="37"/>
      <c r="G27" s="37"/>
      <c r="H27" s="92"/>
      <c r="I27" s="192"/>
      <c r="J27" s="192"/>
      <c r="K27" s="192"/>
      <c r="L27" s="192"/>
      <c r="M27" s="37"/>
      <c r="O27" s="1427"/>
      <c r="P27" s="1427"/>
      <c r="Q27" s="1427"/>
      <c r="R27" s="1427"/>
      <c r="S27" s="1427"/>
      <c r="T27" s="1427"/>
      <c r="U27" s="1427"/>
      <c r="V27" s="1427"/>
      <c r="W27" s="1427"/>
      <c r="X27" s="1427"/>
      <c r="Y27" s="1427"/>
      <c r="Z27" s="1427"/>
      <c r="AA27" s="1427"/>
      <c r="AB27" s="1427"/>
    </row>
    <row r="28" spans="1:28" ht="16.2">
      <c r="A28" s="629"/>
      <c r="B28" s="1428">
        <f>B23/(B23+B18)</f>
        <v>8.0459770114942528E-2</v>
      </c>
      <c r="C28" s="37"/>
      <c r="D28" s="37"/>
      <c r="E28" s="37"/>
      <c r="F28" s="37"/>
      <c r="G28" s="37"/>
      <c r="H28" s="92"/>
      <c r="I28" s="192"/>
      <c r="J28" s="192"/>
      <c r="K28" s="192"/>
      <c r="L28" s="192"/>
      <c r="M28" s="37"/>
      <c r="O28" s="1426">
        <f>O23/(O23+O18)</f>
        <v>0.10645837853475085</v>
      </c>
      <c r="P28" s="1427"/>
      <c r="Q28" s="1427"/>
      <c r="R28" s="1427"/>
      <c r="S28" s="1427"/>
      <c r="T28" s="1427"/>
      <c r="U28" s="1427"/>
      <c r="V28" s="1427"/>
      <c r="W28" s="1427"/>
      <c r="X28" s="1427"/>
      <c r="Y28" s="1427"/>
      <c r="Z28" s="1427"/>
      <c r="AA28" s="1427"/>
      <c r="AB28" s="1427"/>
    </row>
    <row r="29" spans="1:28" ht="15.6">
      <c r="A29" s="37"/>
      <c r="B29" s="37"/>
      <c r="C29" s="37"/>
      <c r="D29" s="37"/>
      <c r="E29" s="37"/>
      <c r="F29" s="37"/>
      <c r="G29" s="37"/>
      <c r="H29" s="37"/>
      <c r="I29" s="37"/>
      <c r="J29" s="37"/>
      <c r="K29" s="37"/>
      <c r="L29" s="37"/>
      <c r="M29" s="37"/>
      <c r="O29" s="1427"/>
      <c r="P29" s="1427"/>
      <c r="Q29" s="1427"/>
      <c r="R29" s="1427"/>
      <c r="S29" s="1427"/>
      <c r="T29" s="1427"/>
      <c r="U29" s="1427"/>
      <c r="V29" s="1427"/>
      <c r="W29" s="1427"/>
      <c r="X29" s="1427"/>
      <c r="Y29" s="1427"/>
      <c r="Z29" s="1427"/>
      <c r="AA29" s="1427"/>
      <c r="AB29" s="1427"/>
    </row>
    <row r="30" spans="1:28" ht="15.6">
      <c r="A30" s="1706" t="s">
        <v>2437</v>
      </c>
      <c r="B30" s="1706"/>
      <c r="C30" s="1706"/>
      <c r="D30" s="1706"/>
      <c r="E30" s="1706"/>
      <c r="F30" s="1706"/>
      <c r="G30" s="1706"/>
      <c r="H30" s="1706"/>
      <c r="I30" s="1706"/>
      <c r="J30" s="1706"/>
      <c r="K30" s="1706"/>
      <c r="L30" s="1706"/>
      <c r="M30" s="1706"/>
    </row>
    <row r="31" spans="1:28" ht="16.2">
      <c r="A31" s="376"/>
      <c r="B31" s="22"/>
      <c r="C31" s="22"/>
      <c r="D31" s="22"/>
      <c r="E31" s="22"/>
      <c r="F31" s="22"/>
      <c r="G31" s="22"/>
      <c r="H31" s="342"/>
      <c r="I31" s="341"/>
      <c r="J31" s="341"/>
      <c r="K31" s="341"/>
      <c r="L31" s="341"/>
      <c r="M31" s="22"/>
    </row>
    <row r="32" spans="1:28" ht="16.2">
      <c r="A32" s="376" t="s">
        <v>2436</v>
      </c>
      <c r="B32" s="22"/>
      <c r="C32" s="22"/>
      <c r="D32" s="22"/>
      <c r="E32" s="22"/>
      <c r="F32" s="22"/>
      <c r="G32" s="22"/>
      <c r="H32" s="342"/>
      <c r="I32" s="341"/>
      <c r="J32" s="341"/>
      <c r="K32" s="341"/>
      <c r="L32" s="341"/>
      <c r="M32" s="22"/>
    </row>
    <row r="33" spans="1:13" ht="16.2">
      <c r="A33" s="376"/>
      <c r="B33" s="22"/>
      <c r="C33" s="22"/>
      <c r="D33" s="22"/>
      <c r="E33" s="22"/>
      <c r="F33" s="22"/>
      <c r="G33" s="22"/>
      <c r="H33" s="342"/>
      <c r="I33" s="341"/>
      <c r="J33" s="341"/>
      <c r="K33" s="341"/>
      <c r="L33" s="341"/>
      <c r="M33" s="22"/>
    </row>
    <row r="34" spans="1:13" ht="16.2">
      <c r="A34" s="408" t="s">
        <v>2435</v>
      </c>
      <c r="B34" s="22"/>
      <c r="C34" s="342"/>
      <c r="D34" s="22"/>
      <c r="E34" s="22"/>
      <c r="F34" s="22"/>
      <c r="G34" s="22"/>
      <c r="H34" s="342"/>
      <c r="I34" s="341"/>
      <c r="J34" s="341"/>
      <c r="K34" s="341"/>
      <c r="L34" s="341"/>
      <c r="M34" s="22"/>
    </row>
    <row r="35" spans="1:13" ht="16.2">
      <c r="A35" s="342"/>
      <c r="B35" s="318" t="s">
        <v>64</v>
      </c>
      <c r="C35" s="44"/>
      <c r="D35" s="341"/>
      <c r="E35" s="341"/>
      <c r="F35" s="22"/>
      <c r="G35" s="22"/>
      <c r="H35" s="22"/>
      <c r="I35" s="22"/>
      <c r="J35" s="341"/>
      <c r="K35" s="341"/>
      <c r="L35" s="341"/>
      <c r="M35" s="22"/>
    </row>
    <row r="36" spans="1:13">
      <c r="A36" s="57"/>
      <c r="B36" s="57"/>
      <c r="C36" s="57"/>
      <c r="D36" s="57"/>
      <c r="E36" s="57"/>
      <c r="F36" s="57"/>
      <c r="G36" s="57"/>
      <c r="H36" s="57"/>
      <c r="I36" s="57"/>
      <c r="J36" s="57"/>
      <c r="K36" s="57"/>
      <c r="L36" s="57"/>
      <c r="M36" s="57"/>
    </row>
    <row r="37" spans="1:13" ht="15.6">
      <c r="A37" s="57"/>
      <c r="B37" s="37" t="s">
        <v>2434</v>
      </c>
      <c r="C37" s="57"/>
      <c r="D37" s="57"/>
      <c r="E37" s="57"/>
      <c r="F37" s="57"/>
      <c r="G37" s="57"/>
      <c r="H37" s="57"/>
      <c r="I37" s="57"/>
      <c r="J37" s="57"/>
      <c r="K37" s="57"/>
      <c r="L37" s="57"/>
    </row>
    <row r="38" spans="1:13" ht="15.6">
      <c r="A38" s="57"/>
      <c r="B38" s="1" t="s">
        <v>2433</v>
      </c>
      <c r="F38" s="1426">
        <f>O28</f>
        <v>0.10645837853475085</v>
      </c>
      <c r="G38" s="1425" t="s">
        <v>2432</v>
      </c>
      <c r="H38" s="1424"/>
      <c r="I38" s="1424"/>
      <c r="J38" s="1424"/>
      <c r="K38" s="1424"/>
      <c r="L38" s="1424"/>
      <c r="M38" s="1423"/>
    </row>
    <row r="39" spans="1:13">
      <c r="A39" s="57"/>
      <c r="H39" s="57"/>
      <c r="I39" s="57"/>
      <c r="J39" s="57"/>
      <c r="K39" s="57"/>
      <c r="L39" s="57"/>
      <c r="M39" s="57"/>
    </row>
    <row r="40" spans="1:13">
      <c r="A40" s="57"/>
      <c r="B40" s="57"/>
      <c r="C40" s="57"/>
      <c r="D40" s="57"/>
      <c r="E40" s="57"/>
      <c r="F40" s="57"/>
      <c r="G40" s="57"/>
      <c r="H40" s="57"/>
      <c r="I40" s="57"/>
      <c r="J40" s="57"/>
      <c r="K40" s="57"/>
      <c r="L40" s="57"/>
      <c r="M40" s="57"/>
    </row>
    <row r="41" spans="1:13">
      <c r="A41" s="57"/>
      <c r="B41" s="57"/>
      <c r="C41" s="57"/>
      <c r="D41" s="57"/>
      <c r="E41" s="57"/>
      <c r="F41" s="57"/>
      <c r="G41" s="57"/>
      <c r="H41" s="57"/>
      <c r="I41" s="57"/>
      <c r="J41" s="57"/>
      <c r="K41" s="57"/>
      <c r="L41" s="57"/>
      <c r="M41" s="57"/>
    </row>
  </sheetData>
  <mergeCells count="2">
    <mergeCell ref="A3:M3"/>
    <mergeCell ref="A30:M30"/>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1265C-E565-49B6-A64D-B01647F96877}">
  <dimension ref="A1:M60"/>
  <sheetViews>
    <sheetView zoomScaleNormal="100" workbookViewId="0">
      <selection activeCell="B38" sqref="B38"/>
    </sheetView>
  </sheetViews>
  <sheetFormatPr defaultColWidth="8.88671875" defaultRowHeight="15.6"/>
  <cols>
    <col min="1" max="1" width="10.5546875" style="1" customWidth="1"/>
    <col min="2" max="3" width="12.6640625" style="1" customWidth="1"/>
    <col min="4" max="11" width="11.6640625" style="1" customWidth="1"/>
    <col min="12" max="12" width="9.6640625" style="1" customWidth="1"/>
    <col min="13" max="13" width="11.6640625" style="1" customWidth="1"/>
    <col min="14" max="16384" width="8.88671875" style="1"/>
  </cols>
  <sheetData>
    <row r="1" spans="1:13" ht="18" customHeight="1">
      <c r="A1" s="23" t="s">
        <v>1472</v>
      </c>
      <c r="B1" s="22"/>
      <c r="C1" s="342" t="s">
        <v>38</v>
      </c>
      <c r="D1" s="22"/>
      <c r="E1" s="22"/>
      <c r="F1" s="22"/>
      <c r="G1" s="22"/>
      <c r="H1" s="22"/>
      <c r="I1" s="22"/>
      <c r="J1" s="22"/>
      <c r="K1" s="22"/>
      <c r="L1" s="22"/>
      <c r="M1" s="22"/>
    </row>
    <row r="2" spans="1:13" ht="16.2">
      <c r="A2" s="376"/>
      <c r="B2" s="22"/>
      <c r="C2" s="22"/>
      <c r="D2" s="22"/>
      <c r="E2" s="22"/>
      <c r="F2" s="22"/>
      <c r="G2" s="22"/>
      <c r="H2" s="342"/>
      <c r="I2" s="342"/>
      <c r="J2" s="341"/>
      <c r="K2" s="341"/>
      <c r="L2" s="341"/>
      <c r="M2" s="22"/>
    </row>
    <row r="3" spans="1:13">
      <c r="A3" s="1706" t="s">
        <v>2481</v>
      </c>
      <c r="B3" s="1706"/>
      <c r="C3" s="1706"/>
      <c r="D3" s="1706"/>
      <c r="E3" s="1706"/>
      <c r="F3" s="1706"/>
      <c r="G3" s="1706"/>
      <c r="H3" s="1706"/>
      <c r="I3" s="1706"/>
      <c r="J3" s="1706"/>
      <c r="K3" s="1706"/>
      <c r="L3" s="1706"/>
      <c r="M3" s="1706"/>
    </row>
    <row r="4" spans="1:13">
      <c r="A4" s="389"/>
      <c r="B4" s="389"/>
      <c r="C4" s="389"/>
      <c r="D4" s="389"/>
      <c r="E4" s="389"/>
      <c r="F4" s="389"/>
      <c r="G4" s="389"/>
      <c r="H4" s="389"/>
      <c r="I4" s="389"/>
      <c r="J4" s="389"/>
      <c r="K4" s="389"/>
      <c r="L4" s="389"/>
      <c r="M4" s="389"/>
    </row>
    <row r="5" spans="1:13">
      <c r="A5" s="1459" t="s">
        <v>1832</v>
      </c>
      <c r="B5" s="1458"/>
      <c r="C5" s="8"/>
      <c r="D5" s="389"/>
      <c r="E5" s="389"/>
      <c r="F5" s="389"/>
      <c r="G5" s="389"/>
      <c r="H5" s="389"/>
      <c r="I5" s="389"/>
      <c r="J5" s="389"/>
      <c r="K5" s="389"/>
      <c r="L5" s="389"/>
      <c r="M5" s="389"/>
    </row>
    <row r="6" spans="1:13">
      <c r="A6" s="1459"/>
      <c r="B6" s="1458"/>
      <c r="C6" s="8"/>
      <c r="D6" s="389"/>
      <c r="E6" s="389"/>
      <c r="F6" s="389"/>
      <c r="G6" s="389"/>
      <c r="H6" s="389"/>
      <c r="I6" s="389"/>
      <c r="J6" s="389"/>
      <c r="K6" s="389"/>
      <c r="L6" s="389"/>
      <c r="M6" s="389"/>
    </row>
    <row r="7" spans="1:13">
      <c r="A7" s="1469" t="s">
        <v>2480</v>
      </c>
      <c r="B7" s="1458"/>
      <c r="C7" s="8"/>
      <c r="D7" s="389"/>
      <c r="E7" s="389"/>
      <c r="F7" s="389"/>
      <c r="G7" s="389"/>
      <c r="H7" s="389"/>
      <c r="I7" s="389"/>
      <c r="J7" s="389"/>
      <c r="K7" s="389"/>
      <c r="L7" s="389"/>
      <c r="M7" s="389"/>
    </row>
    <row r="8" spans="1:13">
      <c r="A8" s="1460"/>
      <c r="B8" s="1459"/>
      <c r="C8" s="1458"/>
      <c r="D8" s="389"/>
      <c r="E8" s="389"/>
      <c r="F8" s="389"/>
      <c r="G8" s="389"/>
      <c r="H8" s="389"/>
      <c r="I8" s="389"/>
      <c r="J8" s="389"/>
      <c r="K8" s="389"/>
      <c r="L8" s="389"/>
      <c r="M8" s="389"/>
    </row>
    <row r="9" spans="1:13" ht="31.2">
      <c r="A9" s="1460"/>
      <c r="B9" s="388" t="s">
        <v>2167</v>
      </c>
      <c r="C9" s="388" t="s">
        <v>566</v>
      </c>
      <c r="D9" s="389"/>
      <c r="E9" s="389"/>
      <c r="F9" s="389"/>
      <c r="G9" s="389"/>
      <c r="H9" s="389"/>
      <c r="I9" s="389"/>
      <c r="J9" s="389"/>
      <c r="K9" s="389"/>
      <c r="L9" s="389"/>
      <c r="M9" s="389"/>
    </row>
    <row r="10" spans="1:13">
      <c r="A10" s="1460"/>
      <c r="B10" s="1461" t="s">
        <v>988</v>
      </c>
      <c r="C10" s="1468">
        <v>0.5</v>
      </c>
      <c r="D10" s="389"/>
      <c r="E10" s="389"/>
      <c r="F10" s="389"/>
      <c r="G10" s="389"/>
      <c r="H10" s="389"/>
      <c r="I10" s="389"/>
      <c r="J10" s="389"/>
      <c r="K10" s="389"/>
      <c r="L10" s="389"/>
      <c r="M10" s="389"/>
    </row>
    <row r="11" spans="1:13">
      <c r="A11" s="1460"/>
      <c r="B11" s="1461" t="s">
        <v>987</v>
      </c>
      <c r="C11" s="1468">
        <v>0.7</v>
      </c>
      <c r="D11" s="389"/>
      <c r="E11" s="389"/>
      <c r="F11" s="389"/>
      <c r="G11" s="389"/>
      <c r="H11" s="389"/>
      <c r="I11" s="389"/>
      <c r="J11" s="389"/>
      <c r="K11" s="389"/>
      <c r="L11" s="389"/>
      <c r="M11" s="389"/>
    </row>
    <row r="12" spans="1:13">
      <c r="A12" s="1460"/>
      <c r="B12" s="1466"/>
      <c r="C12" s="44"/>
      <c r="D12" s="44"/>
      <c r="E12" s="389"/>
      <c r="F12" s="389"/>
      <c r="G12" s="389"/>
      <c r="H12" s="389"/>
      <c r="I12" s="389"/>
      <c r="J12" s="389"/>
      <c r="K12" s="389"/>
      <c r="L12" s="389"/>
      <c r="M12" s="389"/>
    </row>
    <row r="13" spans="1:13" ht="31.2">
      <c r="A13" s="1460"/>
      <c r="B13" s="388" t="s">
        <v>2167</v>
      </c>
      <c r="C13" s="388" t="s">
        <v>2166</v>
      </c>
      <c r="D13" s="388" t="s">
        <v>2165</v>
      </c>
      <c r="E13" s="389"/>
      <c r="F13" s="389"/>
      <c r="G13" s="389"/>
      <c r="H13" s="389"/>
      <c r="I13" s="389"/>
      <c r="J13" s="389"/>
      <c r="K13" s="389"/>
      <c r="L13" s="389"/>
      <c r="M13" s="389"/>
    </row>
    <row r="14" spans="1:13">
      <c r="A14" s="1460"/>
      <c r="B14" s="1461" t="s">
        <v>988</v>
      </c>
      <c r="C14" s="1461" t="s">
        <v>2464</v>
      </c>
      <c r="D14" s="1467">
        <v>70000</v>
      </c>
      <c r="E14" s="389"/>
      <c r="F14" s="389"/>
      <c r="G14" s="389"/>
      <c r="H14" s="389"/>
      <c r="I14" s="389"/>
      <c r="J14" s="389"/>
      <c r="K14" s="389"/>
      <c r="L14" s="389"/>
      <c r="M14" s="389"/>
    </row>
    <row r="15" spans="1:13">
      <c r="A15" s="1460"/>
      <c r="B15" s="1461" t="s">
        <v>988</v>
      </c>
      <c r="C15" s="1461" t="s">
        <v>2463</v>
      </c>
      <c r="D15" s="1467">
        <v>120000</v>
      </c>
      <c r="E15" s="389"/>
      <c r="F15" s="389"/>
      <c r="G15" s="389"/>
      <c r="H15" s="389"/>
      <c r="I15" s="389"/>
      <c r="J15" s="389"/>
      <c r="K15" s="389"/>
      <c r="L15" s="389"/>
      <c r="M15" s="389"/>
    </row>
    <row r="16" spans="1:13">
      <c r="A16" s="1460"/>
      <c r="B16" s="1461" t="s">
        <v>987</v>
      </c>
      <c r="C16" s="1461" t="s">
        <v>2464</v>
      </c>
      <c r="D16" s="1467">
        <v>110000</v>
      </c>
      <c r="E16" s="389"/>
      <c r="F16" s="389"/>
      <c r="G16" s="389"/>
      <c r="H16" s="389"/>
      <c r="I16" s="389"/>
      <c r="J16" s="389"/>
      <c r="K16" s="389"/>
      <c r="L16" s="389"/>
      <c r="M16" s="389"/>
    </row>
    <row r="17" spans="1:13">
      <c r="A17" s="1460"/>
      <c r="B17" s="1461" t="s">
        <v>987</v>
      </c>
      <c r="C17" s="1461" t="s">
        <v>2463</v>
      </c>
      <c r="D17" s="1467">
        <v>100000</v>
      </c>
      <c r="E17" s="389"/>
      <c r="F17" s="389"/>
      <c r="G17" s="389"/>
      <c r="H17" s="389"/>
      <c r="I17" s="389"/>
      <c r="J17" s="389"/>
      <c r="K17" s="389"/>
      <c r="L17" s="389"/>
      <c r="M17" s="389"/>
    </row>
    <row r="18" spans="1:13">
      <c r="A18" s="1460"/>
      <c r="B18" s="1466"/>
      <c r="C18" s="44"/>
      <c r="D18" s="44"/>
      <c r="E18" s="389"/>
      <c r="F18" s="389"/>
      <c r="G18" s="389"/>
      <c r="H18" s="389"/>
      <c r="I18" s="389"/>
      <c r="J18" s="389"/>
      <c r="K18" s="389"/>
      <c r="L18" s="389"/>
      <c r="M18" s="389"/>
    </row>
    <row r="19" spans="1:13">
      <c r="A19" s="1459" t="s">
        <v>2479</v>
      </c>
      <c r="B19" s="1459"/>
      <c r="C19" s="1458"/>
      <c r="D19" s="389"/>
      <c r="E19" s="389"/>
      <c r="F19" s="389"/>
      <c r="G19" s="389"/>
      <c r="H19" s="389"/>
      <c r="I19" s="389"/>
      <c r="J19" s="389"/>
      <c r="K19" s="389"/>
      <c r="L19" s="389"/>
      <c r="M19" s="389"/>
    </row>
    <row r="20" spans="1:13">
      <c r="A20" s="1459"/>
      <c r="B20" s="1459"/>
      <c r="C20" s="1458"/>
      <c r="D20" s="389"/>
      <c r="E20" s="389"/>
      <c r="F20" s="389"/>
      <c r="G20" s="389"/>
      <c r="H20" s="389"/>
      <c r="I20" s="389"/>
      <c r="J20" s="389"/>
      <c r="K20" s="389"/>
      <c r="L20" s="389"/>
      <c r="M20" s="389"/>
    </row>
    <row r="21" spans="1:13" ht="31.2">
      <c r="A21" s="1460"/>
      <c r="B21" s="1465" t="s">
        <v>2470</v>
      </c>
      <c r="C21" s="1465" t="s">
        <v>2478</v>
      </c>
      <c r="D21" s="1465" t="s">
        <v>2477</v>
      </c>
      <c r="E21" s="389"/>
      <c r="F21" s="389"/>
      <c r="G21" s="389"/>
      <c r="H21" s="389"/>
      <c r="I21" s="389"/>
      <c r="J21" s="389"/>
      <c r="K21" s="389"/>
      <c r="L21" s="389"/>
      <c r="M21" s="389"/>
    </row>
    <row r="22" spans="1:13">
      <c r="A22" s="1460"/>
      <c r="B22" s="1464">
        <v>200000</v>
      </c>
      <c r="C22" s="1462">
        <v>0.03</v>
      </c>
      <c r="D22" s="1461">
        <v>6.9000000000000006E-2</v>
      </c>
      <c r="E22" s="389"/>
      <c r="F22" s="389"/>
      <c r="G22" s="389"/>
      <c r="H22" s="389"/>
      <c r="I22" s="389"/>
      <c r="J22" s="389"/>
      <c r="K22" s="389"/>
      <c r="L22" s="389"/>
      <c r="M22" s="389"/>
    </row>
    <row r="23" spans="1:13">
      <c r="A23" s="1460"/>
      <c r="B23" s="1463">
        <v>1000000</v>
      </c>
      <c r="C23" s="1462">
        <v>6.0000000000000001E-3</v>
      </c>
      <c r="D23" s="1461">
        <v>1.9E-2</v>
      </c>
      <c r="E23" s="389"/>
      <c r="F23" s="389"/>
      <c r="G23" s="389"/>
      <c r="H23" s="389"/>
      <c r="I23" s="389"/>
      <c r="J23" s="389"/>
      <c r="K23" s="389"/>
      <c r="L23" s="389"/>
      <c r="M23" s="389"/>
    </row>
    <row r="24" spans="1:13">
      <c r="A24" s="1460"/>
      <c r="B24" s="1459"/>
      <c r="C24" s="1458"/>
      <c r="D24" s="389"/>
      <c r="E24" s="389"/>
      <c r="F24" s="389"/>
      <c r="G24" s="389"/>
      <c r="H24" s="389"/>
      <c r="I24" s="389"/>
      <c r="J24" s="389"/>
      <c r="K24" s="389"/>
      <c r="L24" s="389"/>
      <c r="M24" s="389"/>
    </row>
    <row r="25" spans="1:13" ht="18.600000000000001">
      <c r="A25" s="1459" t="s">
        <v>2476</v>
      </c>
      <c r="B25" s="1459"/>
      <c r="C25" s="1458"/>
      <c r="D25" s="389"/>
      <c r="E25" s="389"/>
      <c r="F25" s="389"/>
      <c r="G25" s="389"/>
      <c r="H25" s="389"/>
      <c r="I25" s="389"/>
      <c r="J25" s="389"/>
      <c r="K25" s="389"/>
      <c r="L25" s="389"/>
      <c r="M25" s="389"/>
    </row>
    <row r="26" spans="1:13" ht="16.2">
      <c r="A26" s="376"/>
      <c r="B26" s="22"/>
      <c r="C26" s="22"/>
      <c r="D26" s="22"/>
      <c r="E26" s="22"/>
      <c r="F26" s="22"/>
      <c r="G26" s="22"/>
      <c r="H26" s="342"/>
      <c r="I26" s="342"/>
      <c r="J26" s="341"/>
      <c r="K26" s="341"/>
      <c r="L26" s="341"/>
      <c r="M26" s="22"/>
    </row>
    <row r="27" spans="1:13">
      <c r="A27" s="22" t="s">
        <v>80</v>
      </c>
      <c r="B27" s="1441" t="s">
        <v>2475</v>
      </c>
      <c r="C27" s="22"/>
      <c r="D27" s="22"/>
      <c r="E27" s="22"/>
      <c r="F27" s="22"/>
      <c r="G27" s="22"/>
      <c r="H27" s="22"/>
      <c r="I27" s="22"/>
      <c r="J27" s="22"/>
      <c r="K27" s="22"/>
      <c r="L27" s="22"/>
      <c r="M27" s="22"/>
    </row>
    <row r="28" spans="1:13" ht="16.2">
      <c r="A28" s="342"/>
      <c r="B28" s="342" t="s">
        <v>64</v>
      </c>
      <c r="C28" s="342"/>
      <c r="D28" s="341"/>
      <c r="E28" s="341"/>
      <c r="F28" s="22"/>
      <c r="G28" s="22"/>
      <c r="H28" s="22"/>
      <c r="I28" s="22"/>
      <c r="J28" s="22"/>
      <c r="K28" s="22"/>
      <c r="L28" s="22"/>
      <c r="M28" s="22"/>
    </row>
    <row r="29" spans="1:13">
      <c r="A29" s="187"/>
    </row>
    <row r="30" spans="1:13">
      <c r="A30" s="187"/>
      <c r="C30" s="280" t="s">
        <v>2464</v>
      </c>
      <c r="D30" s="280" t="s">
        <v>2463</v>
      </c>
    </row>
    <row r="31" spans="1:13">
      <c r="A31" s="187"/>
      <c r="B31" s="1107" t="s">
        <v>2474</v>
      </c>
      <c r="C31" s="1457">
        <f>C22/C23</f>
        <v>5</v>
      </c>
      <c r="D31" s="1457">
        <f>D22/D23</f>
        <v>3.6315789473684212</v>
      </c>
    </row>
    <row r="32" spans="1:13">
      <c r="A32" s="187"/>
      <c r="B32" s="1107" t="s">
        <v>2473</v>
      </c>
      <c r="C32" s="1094">
        <f>LN(C31)</f>
        <v>1.6094379124341003</v>
      </c>
      <c r="D32" s="1094">
        <f>LN(D31)</f>
        <v>1.289667525430819</v>
      </c>
    </row>
    <row r="33" spans="1:13">
      <c r="A33" s="187"/>
      <c r="B33" s="1107" t="s">
        <v>2472</v>
      </c>
      <c r="C33" s="1094">
        <f>LN(B22/B23)</f>
        <v>-1.6094379124341003</v>
      </c>
      <c r="D33" s="1094">
        <f>C33</f>
        <v>-1.6094379124341003</v>
      </c>
    </row>
    <row r="34" spans="1:13" ht="16.2" thickBot="1">
      <c r="A34" s="187"/>
      <c r="B34" s="1107"/>
      <c r="C34" s="478"/>
      <c r="D34" s="478"/>
    </row>
    <row r="35" spans="1:13" ht="16.2" thickBot="1">
      <c r="A35" s="187"/>
      <c r="B35" s="277"/>
      <c r="C35" s="1456" t="s">
        <v>2464</v>
      </c>
      <c r="D35" s="1455" t="s">
        <v>2463</v>
      </c>
    </row>
    <row r="36" spans="1:13" ht="16.2" thickBot="1">
      <c r="A36" s="187"/>
      <c r="B36" s="1453" t="s">
        <v>2170</v>
      </c>
      <c r="C36" s="1454">
        <f>-C32/C33</f>
        <v>1</v>
      </c>
      <c r="D36" s="1454">
        <f>-D32/D33</f>
        <v>0.80131548751721449</v>
      </c>
    </row>
    <row r="37" spans="1:13" ht="16.2" thickBot="1">
      <c r="B37" s="1453" t="s">
        <v>373</v>
      </c>
      <c r="C37" s="1452">
        <f>C22/$B22^(-C36)</f>
        <v>5999.9999999999991</v>
      </c>
      <c r="D37" s="1452">
        <f>D22/$B22^(-D36)</f>
        <v>1220.8056373115237</v>
      </c>
    </row>
    <row r="39" spans="1:13">
      <c r="A39" s="22" t="s">
        <v>9</v>
      </c>
      <c r="B39" s="8" t="s">
        <v>2471</v>
      </c>
      <c r="C39" s="22"/>
      <c r="D39" s="22"/>
      <c r="E39" s="22"/>
      <c r="F39" s="22"/>
      <c r="G39" s="22"/>
      <c r="H39" s="22"/>
      <c r="I39" s="22"/>
      <c r="J39" s="22"/>
      <c r="K39" s="22"/>
      <c r="L39" s="22"/>
      <c r="M39" s="22"/>
    </row>
    <row r="40" spans="1:13" ht="16.2">
      <c r="A40" s="342"/>
      <c r="B40" s="342" t="s">
        <v>64</v>
      </c>
      <c r="C40" s="342"/>
      <c r="D40" s="341"/>
      <c r="E40" s="341"/>
      <c r="F40" s="22"/>
      <c r="G40" s="22"/>
      <c r="H40" s="22"/>
      <c r="I40" s="22"/>
      <c r="J40" s="22"/>
      <c r="K40" s="22"/>
      <c r="L40" s="22"/>
      <c r="M40" s="22"/>
    </row>
    <row r="42" spans="1:13">
      <c r="B42" s="1451" t="s">
        <v>2470</v>
      </c>
      <c r="C42" s="280" t="s">
        <v>2464</v>
      </c>
      <c r="D42" s="280" t="s">
        <v>2463</v>
      </c>
    </row>
    <row r="43" spans="1:13">
      <c r="B43" s="1450">
        <f>100000</f>
        <v>100000</v>
      </c>
      <c r="C43" s="1449">
        <f>C$37*$B43^(-C$36)</f>
        <v>0.06</v>
      </c>
      <c r="D43" s="1449">
        <f>D$37*$B43^(-D$36)</f>
        <v>0.12024557085595718</v>
      </c>
    </row>
    <row r="44" spans="1:13">
      <c r="B44" s="1448">
        <f>B43+300000</f>
        <v>400000</v>
      </c>
      <c r="C44" s="1447">
        <f>C$37*$B44^(-C$36)</f>
        <v>1.4999999999999999E-2</v>
      </c>
      <c r="D44" s="1447">
        <f>D$37*$B44^(-D$36)</f>
        <v>3.9593973949387441E-2</v>
      </c>
    </row>
    <row r="46" spans="1:13" ht="31.2">
      <c r="A46" s="36" t="s">
        <v>2167</v>
      </c>
      <c r="B46" s="36" t="s">
        <v>2469</v>
      </c>
      <c r="C46" s="279" t="s">
        <v>2165</v>
      </c>
      <c r="D46" s="36" t="s">
        <v>10</v>
      </c>
      <c r="E46" s="36" t="s">
        <v>2468</v>
      </c>
      <c r="F46" s="36" t="s">
        <v>2467</v>
      </c>
      <c r="G46" s="36" t="s">
        <v>2466</v>
      </c>
      <c r="H46" s="279" t="s">
        <v>2465</v>
      </c>
    </row>
    <row r="47" spans="1:13">
      <c r="A47" s="36" t="s">
        <v>988</v>
      </c>
      <c r="B47" s="36" t="s">
        <v>2464</v>
      </c>
      <c r="C47" s="1073">
        <f>D14</f>
        <v>70000</v>
      </c>
      <c r="D47" s="1446">
        <f>VLOOKUP(A47,$B$10:$C$11,2,FALSE)</f>
        <v>0.5</v>
      </c>
      <c r="E47" s="1445">
        <f>C44</f>
        <v>1.4999999999999999E-2</v>
      </c>
      <c r="F47" s="1445">
        <f>C43</f>
        <v>0.06</v>
      </c>
      <c r="G47" s="1094">
        <f>F47-E47</f>
        <v>4.4999999999999998E-2</v>
      </c>
      <c r="H47" s="1073">
        <f>C47*D47*G47</f>
        <v>1575</v>
      </c>
    </row>
    <row r="48" spans="1:13">
      <c r="A48" s="36" t="s">
        <v>988</v>
      </c>
      <c r="B48" s="36" t="s">
        <v>2463</v>
      </c>
      <c r="C48" s="1073">
        <f>D15</f>
        <v>120000</v>
      </c>
      <c r="D48" s="1446">
        <f>VLOOKUP(A48,$B$10:$C$11,2,FALSE)</f>
        <v>0.5</v>
      </c>
      <c r="E48" s="1445">
        <f>D44</f>
        <v>3.9593973949387441E-2</v>
      </c>
      <c r="F48" s="1445">
        <f>D43</f>
        <v>0.12024557085595718</v>
      </c>
      <c r="G48" s="1094">
        <f>F48-E48</f>
        <v>8.0651596906569728E-2</v>
      </c>
      <c r="H48" s="1073">
        <f>C48*D48*G48</f>
        <v>4839.0958143941834</v>
      </c>
    </row>
    <row r="49" spans="1:13">
      <c r="A49" s="36" t="s">
        <v>987</v>
      </c>
      <c r="B49" s="36" t="s">
        <v>2464</v>
      </c>
      <c r="C49" s="1073">
        <f>D16</f>
        <v>110000</v>
      </c>
      <c r="D49" s="1446">
        <f>VLOOKUP(A49,$B$10:$C$11,2,FALSE)</f>
        <v>0.7</v>
      </c>
      <c r="E49" s="1445">
        <f>E47</f>
        <v>1.4999999999999999E-2</v>
      </c>
      <c r="F49" s="1445">
        <f>F47</f>
        <v>0.06</v>
      </c>
      <c r="G49" s="1094">
        <f>F49-E49</f>
        <v>4.4999999999999998E-2</v>
      </c>
      <c r="H49" s="1073">
        <f>C49*D49*G49</f>
        <v>3465</v>
      </c>
    </row>
    <row r="50" spans="1:13">
      <c r="A50" s="36" t="s">
        <v>987</v>
      </c>
      <c r="B50" s="36" t="s">
        <v>2463</v>
      </c>
      <c r="C50" s="1073">
        <f>D17</f>
        <v>100000</v>
      </c>
      <c r="D50" s="1446">
        <f>VLOOKUP(A50,$B$10:$C$11,2,FALSE)</f>
        <v>0.7</v>
      </c>
      <c r="E50" s="1445">
        <f>E48</f>
        <v>3.9593973949387441E-2</v>
      </c>
      <c r="F50" s="1445">
        <f>F48</f>
        <v>0.12024557085595718</v>
      </c>
      <c r="G50" s="1094">
        <f>F50-E50</f>
        <v>8.0651596906569728E-2</v>
      </c>
      <c r="H50" s="1073">
        <f>C50*D50*G50</f>
        <v>5645.6117834598808</v>
      </c>
    </row>
    <row r="51" spans="1:13">
      <c r="A51" s="277"/>
      <c r="B51" s="36" t="s">
        <v>72</v>
      </c>
      <c r="C51" s="1073">
        <f>SUM(C47:C50)</f>
        <v>400000</v>
      </c>
      <c r="D51" s="9"/>
      <c r="E51" s="9"/>
      <c r="F51" s="9"/>
      <c r="G51" s="9"/>
      <c r="H51" s="1073">
        <f>SUM(H47:H50)</f>
        <v>15524.707597854063</v>
      </c>
    </row>
    <row r="52" spans="1:13" ht="16.2" thickBot="1">
      <c r="A52" s="1359"/>
    </row>
    <row r="53" spans="1:13" ht="16.2" thickBot="1">
      <c r="A53" s="1444"/>
      <c r="B53" s="1444"/>
      <c r="C53" s="1443" t="s">
        <v>2462</v>
      </c>
      <c r="D53" s="1442">
        <f>H51/C51</f>
        <v>3.8811768994635155E-2</v>
      </c>
    </row>
    <row r="55" spans="1:13">
      <c r="A55" s="22" t="s">
        <v>7</v>
      </c>
      <c r="B55" s="1441" t="s">
        <v>2461</v>
      </c>
      <c r="C55" s="8"/>
      <c r="D55" s="8"/>
      <c r="E55" s="8"/>
      <c r="F55" s="8"/>
      <c r="G55" s="8"/>
      <c r="H55" s="8"/>
      <c r="I55" s="8"/>
      <c r="J55" s="8"/>
      <c r="K55" s="8"/>
      <c r="L55" s="8"/>
      <c r="M55" s="8"/>
    </row>
    <row r="56" spans="1:13" ht="16.2">
      <c r="A56" s="8"/>
      <c r="B56" s="342" t="s">
        <v>64</v>
      </c>
      <c r="C56" s="8"/>
      <c r="D56" s="8"/>
      <c r="E56" s="8"/>
      <c r="F56" s="8"/>
      <c r="G56" s="8"/>
      <c r="H56" s="8"/>
      <c r="I56" s="8"/>
      <c r="J56" s="8"/>
      <c r="K56" s="8"/>
      <c r="L56" s="8"/>
      <c r="M56" s="8"/>
    </row>
    <row r="58" spans="1:13">
      <c r="B58" s="1" t="s">
        <v>2460</v>
      </c>
    </row>
    <row r="59" spans="1:13">
      <c r="B59" s="1166">
        <f>D53</f>
        <v>3.8811768994635155E-2</v>
      </c>
      <c r="C59" s="277" t="s">
        <v>2459</v>
      </c>
      <c r="D59" s="1166">
        <f>SUM(H49:H50)/SUM(C49:C50)</f>
        <v>4.3383865635523239E-2</v>
      </c>
      <c r="E59" s="1" t="s">
        <v>2458</v>
      </c>
    </row>
    <row r="60" spans="1:13">
      <c r="B60" s="1440" t="s">
        <v>2457</v>
      </c>
      <c r="C60" s="1105">
        <f>D59/B59-1</f>
        <v>0.11780181010353008</v>
      </c>
      <c r="D60" s="1" t="s">
        <v>2456</v>
      </c>
    </row>
  </sheetData>
  <mergeCells count="1">
    <mergeCell ref="A3:M3"/>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DD1E-A684-4CC7-A496-F9978E240DE9}">
  <dimension ref="A1:N75"/>
  <sheetViews>
    <sheetView zoomScaleNormal="100" workbookViewId="0">
      <selection activeCell="B38" sqref="B38"/>
    </sheetView>
  </sheetViews>
  <sheetFormatPr defaultColWidth="9.33203125" defaultRowHeight="15.6"/>
  <cols>
    <col min="1" max="1" width="15.109375" style="1" customWidth="1"/>
    <col min="2" max="4" width="17.44140625" style="1" customWidth="1"/>
    <col min="5" max="6" width="12.33203125" style="1" bestFit="1" customWidth="1"/>
    <col min="7" max="8" width="11.6640625" style="1" bestFit="1" customWidth="1"/>
    <col min="9" max="10" width="12" style="1" customWidth="1"/>
    <col min="11" max="11" width="16.88671875" style="1" bestFit="1" customWidth="1"/>
    <col min="12" max="13" width="12.33203125" style="1" bestFit="1" customWidth="1"/>
    <col min="14" max="16384" width="9.33203125" style="1"/>
  </cols>
  <sheetData>
    <row r="1" spans="1:13" ht="18" customHeight="1">
      <c r="A1" s="23" t="s">
        <v>1343</v>
      </c>
      <c r="B1" s="22"/>
      <c r="C1" s="22"/>
      <c r="D1" s="22"/>
      <c r="E1" s="22"/>
      <c r="F1" s="22"/>
      <c r="G1" s="22"/>
      <c r="H1" s="22"/>
      <c r="I1" s="3"/>
      <c r="J1" s="3"/>
      <c r="K1" s="3"/>
      <c r="L1" s="2"/>
      <c r="M1" s="2"/>
    </row>
    <row r="2" spans="1:13">
      <c r="A2" s="1859" t="s">
        <v>2499</v>
      </c>
      <c r="B2" s="1859"/>
      <c r="C2" s="1859"/>
      <c r="D2" s="1859"/>
      <c r="E2" s="1859"/>
      <c r="F2" s="1859"/>
      <c r="G2" s="1859"/>
      <c r="H2" s="1859"/>
      <c r="I2" s="1859"/>
      <c r="J2" s="1859"/>
      <c r="K2" s="1859"/>
      <c r="L2" s="2"/>
      <c r="M2" s="2"/>
    </row>
    <row r="3" spans="1:13">
      <c r="A3" s="22"/>
      <c r="B3" s="22"/>
      <c r="C3" s="22"/>
      <c r="D3" s="22"/>
      <c r="E3" s="22"/>
      <c r="F3" s="22"/>
      <c r="G3" s="22"/>
      <c r="H3" s="22"/>
      <c r="I3" s="22"/>
      <c r="J3" s="22"/>
      <c r="K3" s="22"/>
      <c r="L3" s="22"/>
      <c r="M3" s="22"/>
    </row>
    <row r="4" spans="1:13">
      <c r="A4" s="376" t="s">
        <v>1927</v>
      </c>
      <c r="B4" s="22"/>
      <c r="C4" s="22"/>
      <c r="D4" s="22"/>
      <c r="E4" s="22"/>
      <c r="F4" s="22"/>
      <c r="G4" s="22"/>
      <c r="H4" s="22"/>
      <c r="I4" s="22"/>
      <c r="J4" s="22"/>
      <c r="K4" s="22"/>
      <c r="L4" s="22"/>
      <c r="M4" s="22"/>
    </row>
    <row r="5" spans="1:13">
      <c r="A5" s="22"/>
      <c r="B5" s="22"/>
      <c r="C5" s="22"/>
      <c r="D5" s="22"/>
      <c r="E5" s="22"/>
      <c r="F5" s="22"/>
      <c r="G5" s="22"/>
      <c r="H5" s="22"/>
      <c r="I5" s="22"/>
      <c r="J5" s="22"/>
      <c r="K5" s="22"/>
      <c r="L5" s="22"/>
      <c r="M5" s="22"/>
    </row>
    <row r="6" spans="1:13">
      <c r="A6" s="22"/>
      <c r="B6" s="1707" t="s">
        <v>2498</v>
      </c>
      <c r="C6" s="1709"/>
      <c r="D6" s="1708"/>
      <c r="E6" s="22"/>
      <c r="F6" s="22"/>
      <c r="G6" s="22"/>
      <c r="H6" s="22"/>
      <c r="I6" s="22"/>
      <c r="J6" s="22"/>
      <c r="K6" s="22"/>
      <c r="L6" s="22"/>
      <c r="M6" s="22"/>
    </row>
    <row r="7" spans="1:13" ht="31.2">
      <c r="A7" s="22"/>
      <c r="B7" s="332" t="s">
        <v>1904</v>
      </c>
      <c r="C7" s="332" t="s">
        <v>1903</v>
      </c>
      <c r="D7" s="332" t="s">
        <v>1902</v>
      </c>
      <c r="E7" s="22"/>
      <c r="F7" s="22"/>
      <c r="G7" s="22"/>
      <c r="H7" s="22"/>
      <c r="I7" s="22"/>
      <c r="J7" s="22"/>
      <c r="K7" s="22"/>
      <c r="L7" s="22"/>
      <c r="M7" s="22"/>
    </row>
    <row r="8" spans="1:13">
      <c r="A8" s="22"/>
      <c r="B8" s="1478">
        <v>44378</v>
      </c>
      <c r="C8" s="1477">
        <v>120000</v>
      </c>
      <c r="D8" s="1477">
        <v>90000</v>
      </c>
      <c r="E8" s="22"/>
      <c r="F8" s="22"/>
      <c r="G8" s="22"/>
      <c r="H8" s="22"/>
      <c r="I8" s="22"/>
      <c r="J8" s="22"/>
      <c r="K8" s="22"/>
      <c r="L8" s="22"/>
      <c r="M8" s="22"/>
    </row>
    <row r="9" spans="1:13">
      <c r="A9" s="22"/>
      <c r="B9" s="1478">
        <v>44378</v>
      </c>
      <c r="C9" s="1477">
        <v>0</v>
      </c>
      <c r="D9" s="1477">
        <v>130000</v>
      </c>
      <c r="E9" s="22"/>
      <c r="F9" s="22"/>
      <c r="G9" s="22"/>
      <c r="H9" s="22"/>
      <c r="I9" s="22"/>
      <c r="J9" s="22"/>
      <c r="K9" s="22"/>
      <c r="L9" s="22"/>
      <c r="M9" s="22"/>
    </row>
    <row r="10" spans="1:13">
      <c r="A10" s="22"/>
      <c r="B10" s="1478">
        <v>44743</v>
      </c>
      <c r="C10" s="1477">
        <v>600000</v>
      </c>
      <c r="D10" s="1477">
        <v>250000</v>
      </c>
      <c r="E10" s="22"/>
      <c r="F10" s="22"/>
      <c r="G10" s="22"/>
      <c r="H10" s="22"/>
      <c r="I10" s="22"/>
      <c r="J10" s="22"/>
      <c r="K10" s="22"/>
      <c r="L10" s="22"/>
      <c r="M10" s="22"/>
    </row>
    <row r="11" spans="1:13">
      <c r="A11" s="22"/>
      <c r="B11" s="1478">
        <v>44743</v>
      </c>
      <c r="C11" s="1477">
        <v>125000</v>
      </c>
      <c r="D11" s="1477">
        <v>0</v>
      </c>
      <c r="E11" s="22"/>
      <c r="F11" s="22"/>
      <c r="G11" s="22"/>
      <c r="H11" s="22"/>
      <c r="I11" s="22"/>
      <c r="J11" s="22"/>
      <c r="K11" s="22"/>
      <c r="L11" s="22"/>
      <c r="M11" s="22"/>
    </row>
    <row r="12" spans="1:13">
      <c r="A12" s="22"/>
      <c r="B12" s="1478">
        <v>45108</v>
      </c>
      <c r="C12" s="1477">
        <v>140000</v>
      </c>
      <c r="D12" s="1477">
        <v>50000</v>
      </c>
      <c r="E12" s="22"/>
      <c r="F12" s="22"/>
      <c r="G12" s="22"/>
      <c r="H12" s="22"/>
      <c r="I12" s="22"/>
      <c r="J12" s="22"/>
      <c r="K12" s="22"/>
      <c r="L12" s="22"/>
      <c r="M12" s="22"/>
    </row>
    <row r="13" spans="1:13">
      <c r="A13" s="22"/>
      <c r="B13" s="1478">
        <v>45108</v>
      </c>
      <c r="C13" s="1477">
        <v>300000</v>
      </c>
      <c r="D13" s="1477">
        <v>225000</v>
      </c>
      <c r="E13" s="22"/>
      <c r="F13" s="22"/>
      <c r="G13" s="22"/>
      <c r="H13" s="22"/>
      <c r="I13" s="22"/>
      <c r="J13" s="22"/>
      <c r="K13" s="22"/>
      <c r="L13" s="22"/>
      <c r="M13" s="22"/>
    </row>
    <row r="14" spans="1:13">
      <c r="A14" s="22"/>
      <c r="B14" s="22"/>
      <c r="C14" s="22"/>
      <c r="D14" s="22"/>
      <c r="E14" s="22"/>
      <c r="F14" s="22"/>
      <c r="G14" s="22"/>
      <c r="H14" s="22"/>
      <c r="I14" s="22"/>
      <c r="J14" s="22"/>
      <c r="K14" s="22"/>
      <c r="L14" s="22"/>
      <c r="M14" s="22"/>
    </row>
    <row r="15" spans="1:13">
      <c r="A15" s="22" t="s">
        <v>2497</v>
      </c>
      <c r="B15" s="22"/>
      <c r="C15" s="22"/>
      <c r="D15" s="22"/>
      <c r="E15" s="22"/>
      <c r="F15" s="22"/>
      <c r="G15" s="22"/>
      <c r="H15" s="22"/>
      <c r="I15" s="22"/>
      <c r="J15" s="22"/>
      <c r="K15" s="22"/>
      <c r="L15" s="22"/>
      <c r="M15" s="22"/>
    </row>
    <row r="16" spans="1:13">
      <c r="A16" s="22" t="s">
        <v>2496</v>
      </c>
      <c r="B16" s="22"/>
      <c r="C16" s="22"/>
      <c r="D16" s="22"/>
      <c r="E16" s="22"/>
      <c r="F16" s="22"/>
      <c r="G16" s="22"/>
      <c r="H16" s="22"/>
      <c r="I16" s="22"/>
      <c r="J16" s="22"/>
      <c r="K16" s="361" t="s">
        <v>1922</v>
      </c>
      <c r="L16" s="331">
        <v>1000000</v>
      </c>
      <c r="M16" s="361"/>
    </row>
    <row r="17" spans="1:13">
      <c r="A17" s="22" t="s">
        <v>2495</v>
      </c>
      <c r="B17" s="22"/>
      <c r="C17" s="1476"/>
      <c r="D17" s="22"/>
      <c r="E17" s="22"/>
      <c r="F17" s="22"/>
      <c r="G17" s="22"/>
      <c r="H17" s="22"/>
      <c r="I17" s="22"/>
      <c r="J17" s="22"/>
      <c r="K17" s="361" t="s">
        <v>2494</v>
      </c>
      <c r="L17" s="331">
        <v>10000000</v>
      </c>
      <c r="M17" s="361" t="s">
        <v>1916</v>
      </c>
    </row>
    <row r="18" spans="1:13">
      <c r="A18" s="22" t="s">
        <v>2493</v>
      </c>
      <c r="B18" s="22"/>
      <c r="C18" s="22"/>
      <c r="D18" s="22"/>
      <c r="E18" s="22"/>
      <c r="F18" s="22"/>
      <c r="G18" s="22"/>
      <c r="H18" s="22"/>
      <c r="I18" s="22"/>
      <c r="J18" s="22"/>
      <c r="K18" s="361"/>
      <c r="L18" s="1475"/>
      <c r="M18" s="361"/>
    </row>
    <row r="19" spans="1:13">
      <c r="A19" s="22" t="s">
        <v>2492</v>
      </c>
      <c r="B19" s="22"/>
      <c r="C19" s="619"/>
      <c r="D19" s="22"/>
      <c r="E19" s="22"/>
      <c r="F19" s="22"/>
      <c r="G19" s="22"/>
      <c r="H19" s="22"/>
      <c r="I19" s="22"/>
      <c r="J19" s="22"/>
      <c r="K19" s="361" t="s">
        <v>2315</v>
      </c>
      <c r="L19" s="1475">
        <v>0.05</v>
      </c>
      <c r="M19" s="361" t="s">
        <v>1916</v>
      </c>
    </row>
    <row r="20" spans="1:13">
      <c r="A20" s="22" t="s">
        <v>2491</v>
      </c>
      <c r="B20" s="22"/>
      <c r="C20" s="619"/>
      <c r="D20" s="22"/>
      <c r="E20" s="22"/>
      <c r="F20" s="22"/>
      <c r="G20" s="22"/>
      <c r="H20" s="22"/>
      <c r="I20" s="22"/>
      <c r="J20" s="22"/>
      <c r="K20" s="361" t="s">
        <v>2490</v>
      </c>
      <c r="L20" s="1475">
        <v>0.1</v>
      </c>
      <c r="M20" s="361" t="s">
        <v>1916</v>
      </c>
    </row>
    <row r="21" spans="1:13">
      <c r="A21" s="22" t="s">
        <v>2489</v>
      </c>
      <c r="B21" s="22"/>
      <c r="C21" s="22"/>
      <c r="D21" s="22"/>
      <c r="E21" s="22"/>
      <c r="F21" s="22"/>
      <c r="G21" s="22"/>
      <c r="H21" s="22"/>
      <c r="I21" s="22"/>
      <c r="J21" s="22"/>
      <c r="K21" s="361"/>
      <c r="L21" s="1474" t="s">
        <v>1914</v>
      </c>
      <c r="M21" s="1474" t="s">
        <v>1232</v>
      </c>
    </row>
    <row r="22" spans="1:13">
      <c r="A22" s="22"/>
      <c r="B22" s="22"/>
      <c r="C22" s="22"/>
      <c r="D22" s="22"/>
      <c r="E22" s="22"/>
      <c r="F22" s="22"/>
      <c r="G22" s="22"/>
      <c r="H22" s="22"/>
      <c r="I22" s="22"/>
      <c r="J22" s="22"/>
      <c r="K22" s="361" t="s">
        <v>1907</v>
      </c>
      <c r="L22" s="331">
        <v>800000</v>
      </c>
      <c r="M22" s="331">
        <v>200000</v>
      </c>
    </row>
    <row r="23" spans="1:13">
      <c r="A23" s="22"/>
      <c r="B23" s="530" t="s">
        <v>1913</v>
      </c>
      <c r="C23" s="1473">
        <v>2</v>
      </c>
      <c r="D23" s="22"/>
      <c r="E23" s="22"/>
      <c r="F23" s="22"/>
      <c r="G23" s="22"/>
      <c r="H23" s="22"/>
      <c r="I23" s="22"/>
      <c r="J23" s="22"/>
      <c r="K23" s="22"/>
      <c r="L23" s="22"/>
      <c r="M23" s="22"/>
    </row>
    <row r="24" spans="1:13">
      <c r="A24" s="22"/>
      <c r="B24" s="530" t="s">
        <v>1912</v>
      </c>
      <c r="C24" s="1473">
        <v>1.4</v>
      </c>
      <c r="D24" s="22"/>
      <c r="E24" s="22"/>
      <c r="F24" s="22"/>
      <c r="G24" s="22"/>
      <c r="H24" s="22"/>
      <c r="I24" s="22"/>
      <c r="J24" s="22"/>
      <c r="K24" s="22"/>
      <c r="L24" s="22"/>
      <c r="M24" s="22"/>
    </row>
    <row r="25" spans="1:13">
      <c r="A25" s="22"/>
      <c r="B25" s="530" t="s">
        <v>1911</v>
      </c>
      <c r="C25" s="1473">
        <v>1.1000000000000001</v>
      </c>
      <c r="D25" s="22"/>
      <c r="E25" s="22"/>
      <c r="F25" s="22"/>
      <c r="G25" s="22"/>
      <c r="H25" s="22"/>
      <c r="I25" s="22"/>
      <c r="J25" s="22"/>
      <c r="K25" s="22"/>
      <c r="L25" s="22"/>
      <c r="M25" s="22"/>
    </row>
    <row r="26" spans="1:13">
      <c r="A26" s="22"/>
      <c r="B26" s="22"/>
      <c r="C26" s="22"/>
      <c r="D26" s="22"/>
      <c r="E26" s="22"/>
      <c r="F26" s="22"/>
      <c r="G26" s="22"/>
      <c r="H26" s="22"/>
      <c r="I26" s="22"/>
      <c r="J26" s="22"/>
      <c r="K26" s="22"/>
      <c r="L26" s="22"/>
      <c r="M26" s="22"/>
    </row>
    <row r="27" spans="1:13">
      <c r="A27" s="22" t="s">
        <v>1910</v>
      </c>
      <c r="B27" s="22"/>
      <c r="C27" s="22"/>
      <c r="D27" s="22"/>
      <c r="E27" s="22"/>
      <c r="F27" s="22"/>
      <c r="G27" s="22"/>
      <c r="H27" s="22"/>
      <c r="I27" s="22"/>
      <c r="J27" s="22"/>
      <c r="K27" s="22"/>
      <c r="L27" s="22"/>
      <c r="M27" s="22"/>
    </row>
    <row r="28" spans="1:13" hidden="1">
      <c r="A28" s="3"/>
      <c r="B28" s="3"/>
      <c r="C28" s="3"/>
      <c r="D28" s="3"/>
      <c r="E28" s="3"/>
      <c r="F28" s="3"/>
      <c r="G28" s="3"/>
      <c r="H28" s="3"/>
      <c r="I28" s="3"/>
      <c r="J28" s="3"/>
      <c r="K28" s="3"/>
      <c r="L28" s="2"/>
    </row>
    <row r="29" spans="1:13" hidden="1">
      <c r="A29" s="3"/>
      <c r="B29" s="3"/>
      <c r="C29" s="3"/>
      <c r="D29" s="3"/>
      <c r="E29" s="3"/>
      <c r="F29" s="3"/>
      <c r="G29" s="3"/>
      <c r="H29" s="3"/>
      <c r="I29" s="3"/>
      <c r="J29" s="3"/>
      <c r="K29" s="3"/>
      <c r="L29" s="2"/>
    </row>
    <row r="30" spans="1:13" hidden="1">
      <c r="A30" s="3"/>
      <c r="B30" s="3"/>
      <c r="C30" s="3"/>
      <c r="D30" s="3"/>
      <c r="E30" s="3"/>
      <c r="F30" s="3"/>
      <c r="G30" s="3"/>
      <c r="H30" s="3"/>
      <c r="I30" s="3"/>
      <c r="J30" s="3"/>
      <c r="K30" s="3"/>
      <c r="L30" s="2"/>
    </row>
    <row r="31" spans="1:13" hidden="1">
      <c r="A31" s="3"/>
      <c r="B31" s="3"/>
      <c r="C31" s="3"/>
      <c r="D31" s="3"/>
      <c r="E31" s="3"/>
      <c r="F31" s="3"/>
      <c r="G31" s="3"/>
      <c r="H31" s="3"/>
      <c r="I31" s="3"/>
      <c r="J31" s="3"/>
      <c r="K31" s="3"/>
      <c r="L31" s="2"/>
    </row>
    <row r="32" spans="1:13" hidden="1">
      <c r="A32" s="3"/>
      <c r="B32" s="3"/>
      <c r="C32" s="3"/>
      <c r="D32" s="3"/>
      <c r="E32" s="3"/>
      <c r="F32" s="3"/>
      <c r="G32" s="3"/>
      <c r="H32" s="3"/>
      <c r="I32" s="3"/>
      <c r="J32" s="3"/>
      <c r="K32" s="3"/>
      <c r="L32" s="2"/>
    </row>
    <row r="33" spans="1:12" hidden="1">
      <c r="A33" s="3"/>
      <c r="B33" s="3"/>
      <c r="C33" s="3"/>
      <c r="D33" s="3"/>
      <c r="E33" s="3"/>
      <c r="F33" s="3"/>
      <c r="G33" s="3"/>
      <c r="H33" s="3"/>
      <c r="I33" s="3"/>
      <c r="J33" s="3"/>
      <c r="K33" s="3"/>
      <c r="L33" s="2"/>
    </row>
    <row r="34" spans="1:12" hidden="1">
      <c r="A34" s="3"/>
      <c r="B34" s="3"/>
      <c r="C34" s="3"/>
      <c r="D34" s="3"/>
      <c r="E34" s="3"/>
      <c r="F34" s="3"/>
      <c r="G34" s="3"/>
      <c r="H34" s="3"/>
      <c r="I34" s="3"/>
      <c r="J34" s="3"/>
      <c r="K34" s="3"/>
      <c r="L34" s="2"/>
    </row>
    <row r="35" spans="1:12" hidden="1">
      <c r="A35" s="3"/>
      <c r="B35" s="3"/>
      <c r="C35" s="3"/>
      <c r="D35" s="3"/>
      <c r="E35" s="3"/>
      <c r="F35" s="3"/>
      <c r="G35" s="3"/>
      <c r="H35" s="3"/>
      <c r="I35" s="3"/>
      <c r="J35" s="3"/>
      <c r="K35" s="3"/>
      <c r="L35" s="2"/>
    </row>
    <row r="36" spans="1:12" hidden="1">
      <c r="A36" s="3"/>
      <c r="B36" s="3"/>
      <c r="C36" s="3"/>
      <c r="D36" s="3"/>
      <c r="E36" s="3"/>
      <c r="F36" s="3"/>
      <c r="G36" s="3"/>
      <c r="H36" s="3"/>
      <c r="I36" s="3"/>
      <c r="J36" s="3"/>
      <c r="K36" s="3"/>
      <c r="L36" s="2"/>
    </row>
    <row r="37" spans="1:12" hidden="1">
      <c r="A37" s="3"/>
      <c r="B37" s="3"/>
      <c r="C37" s="3"/>
      <c r="D37" s="3"/>
      <c r="E37" s="3"/>
      <c r="F37" s="3"/>
      <c r="G37" s="3"/>
      <c r="H37" s="3"/>
      <c r="I37" s="3"/>
      <c r="J37" s="3"/>
      <c r="K37" s="3"/>
      <c r="L37" s="2"/>
    </row>
    <row r="38" spans="1:12" hidden="1">
      <c r="A38" s="3"/>
      <c r="B38" s="3"/>
      <c r="C38" s="3"/>
      <c r="D38" s="3"/>
      <c r="E38" s="3"/>
      <c r="F38" s="3"/>
      <c r="G38" s="3"/>
      <c r="H38" s="3"/>
      <c r="I38" s="3"/>
      <c r="J38" s="3"/>
      <c r="K38" s="3"/>
      <c r="L38" s="2"/>
    </row>
    <row r="39" spans="1:12" hidden="1">
      <c r="A39" s="3"/>
      <c r="B39" s="3"/>
      <c r="C39" s="3"/>
      <c r="D39" s="3"/>
      <c r="E39" s="3"/>
      <c r="F39" s="3"/>
      <c r="G39" s="3"/>
      <c r="H39" s="3"/>
      <c r="I39" s="3"/>
      <c r="J39" s="3"/>
      <c r="K39" s="3"/>
      <c r="L39" s="2"/>
    </row>
    <row r="40" spans="1:12" hidden="1">
      <c r="A40" s="3"/>
      <c r="B40" s="3"/>
      <c r="C40" s="3"/>
      <c r="D40" s="3"/>
      <c r="E40" s="3"/>
      <c r="F40" s="3"/>
      <c r="G40" s="3"/>
      <c r="H40" s="3"/>
      <c r="I40" s="3"/>
      <c r="J40" s="3"/>
      <c r="K40" s="3"/>
      <c r="L40" s="2"/>
    </row>
    <row r="41" spans="1:12" hidden="1">
      <c r="A41" s="3"/>
      <c r="B41" s="3"/>
      <c r="C41" s="3"/>
      <c r="D41" s="3"/>
      <c r="E41" s="3"/>
      <c r="F41" s="3"/>
      <c r="G41" s="3"/>
      <c r="H41" s="3"/>
      <c r="I41" s="3"/>
      <c r="J41" s="3"/>
      <c r="K41" s="3"/>
      <c r="L41" s="2"/>
    </row>
    <row r="42" spans="1:12" hidden="1">
      <c r="A42" s="3"/>
      <c r="B42" s="3"/>
      <c r="C42" s="3"/>
      <c r="D42" s="3"/>
      <c r="E42" s="3"/>
      <c r="F42" s="3"/>
      <c r="G42" s="3"/>
      <c r="H42" s="3"/>
      <c r="I42" s="3"/>
      <c r="J42" s="3"/>
      <c r="K42" s="3"/>
      <c r="L42" s="2"/>
    </row>
    <row r="43" spans="1:12" hidden="1">
      <c r="A43" s="3"/>
      <c r="B43" s="3"/>
      <c r="C43" s="3"/>
      <c r="D43" s="3"/>
      <c r="E43" s="3"/>
      <c r="F43" s="3"/>
      <c r="G43" s="3"/>
      <c r="H43" s="3"/>
      <c r="I43" s="3"/>
      <c r="J43" s="3"/>
      <c r="K43" s="3"/>
      <c r="L43" s="2"/>
    </row>
    <row r="44" spans="1:12" hidden="1">
      <c r="A44" s="3"/>
      <c r="B44" s="3"/>
      <c r="C44" s="3"/>
      <c r="D44" s="3"/>
      <c r="E44" s="3"/>
      <c r="F44" s="3"/>
      <c r="G44" s="3"/>
      <c r="H44" s="3"/>
      <c r="I44" s="3"/>
      <c r="J44" s="3"/>
      <c r="K44" s="3"/>
      <c r="L44" s="2"/>
    </row>
    <row r="45" spans="1:12" hidden="1">
      <c r="A45" s="3"/>
      <c r="B45" s="3"/>
      <c r="C45" s="3"/>
      <c r="D45" s="3"/>
      <c r="E45" s="3"/>
      <c r="F45" s="3"/>
      <c r="G45" s="3"/>
      <c r="H45" s="3"/>
      <c r="I45" s="3"/>
      <c r="J45" s="3"/>
      <c r="K45" s="3"/>
      <c r="L45" s="2"/>
    </row>
    <row r="46" spans="1:12" hidden="1">
      <c r="A46" s="3"/>
      <c r="B46" s="3"/>
      <c r="C46" s="3"/>
      <c r="D46" s="3"/>
      <c r="E46" s="3"/>
      <c r="F46" s="3"/>
      <c r="G46" s="3"/>
      <c r="H46" s="3"/>
      <c r="I46" s="3"/>
      <c r="J46" s="3"/>
      <c r="K46" s="3"/>
      <c r="L46" s="2"/>
    </row>
    <row r="47" spans="1:12" hidden="1">
      <c r="A47" s="3"/>
      <c r="B47" s="3"/>
      <c r="C47" s="3"/>
      <c r="D47" s="3"/>
      <c r="E47" s="3"/>
      <c r="F47" s="3"/>
      <c r="G47" s="3"/>
      <c r="H47" s="3"/>
      <c r="I47" s="3"/>
      <c r="J47" s="3"/>
      <c r="K47" s="3"/>
      <c r="L47" s="2"/>
    </row>
    <row r="48" spans="1:12" hidden="1">
      <c r="A48" s="3"/>
      <c r="B48" s="3"/>
      <c r="C48" s="3"/>
      <c r="D48" s="3"/>
      <c r="E48" s="3"/>
      <c r="F48" s="3"/>
      <c r="G48" s="3"/>
      <c r="H48" s="3"/>
      <c r="I48" s="3"/>
      <c r="J48" s="3"/>
      <c r="K48" s="3"/>
      <c r="L48" s="2"/>
    </row>
    <row r="49" spans="1:12" hidden="1">
      <c r="A49" s="3"/>
      <c r="B49" s="3"/>
      <c r="C49" s="3"/>
      <c r="D49" s="3"/>
      <c r="E49" s="3"/>
      <c r="F49" s="3"/>
      <c r="G49" s="3"/>
      <c r="H49" s="3"/>
      <c r="I49" s="3"/>
      <c r="J49" s="3"/>
      <c r="K49" s="3"/>
      <c r="L49" s="2"/>
    </row>
    <row r="50" spans="1:12" hidden="1">
      <c r="A50" s="3"/>
      <c r="B50" s="3"/>
      <c r="C50" s="3"/>
      <c r="D50" s="3"/>
      <c r="E50" s="3"/>
      <c r="F50" s="3"/>
      <c r="G50" s="3"/>
      <c r="H50" s="3"/>
      <c r="I50" s="3"/>
      <c r="J50" s="3"/>
      <c r="K50" s="3"/>
      <c r="L50" s="2"/>
    </row>
    <row r="51" spans="1:12" hidden="1">
      <c r="A51" s="3"/>
      <c r="B51" s="3"/>
      <c r="C51" s="3"/>
      <c r="D51" s="3"/>
      <c r="E51" s="3"/>
      <c r="F51" s="3"/>
      <c r="G51" s="3"/>
      <c r="H51" s="3"/>
      <c r="I51" s="3"/>
      <c r="J51" s="3"/>
      <c r="K51" s="3"/>
      <c r="L51" s="2"/>
    </row>
    <row r="52" spans="1:12" hidden="1">
      <c r="A52" s="3"/>
      <c r="B52" s="3"/>
      <c r="C52" s="3"/>
      <c r="D52" s="3"/>
      <c r="E52" s="3"/>
      <c r="F52" s="3"/>
      <c r="G52" s="3"/>
      <c r="H52" s="3"/>
      <c r="I52" s="3"/>
      <c r="J52" s="3"/>
      <c r="K52" s="3"/>
      <c r="L52" s="2"/>
    </row>
    <row r="53" spans="1:12" hidden="1">
      <c r="A53" s="3"/>
      <c r="B53" s="3"/>
      <c r="C53" s="3"/>
      <c r="D53" s="3"/>
      <c r="E53" s="3"/>
      <c r="F53" s="3"/>
      <c r="G53" s="3"/>
      <c r="H53" s="3"/>
      <c r="I53" s="3"/>
      <c r="J53" s="3"/>
      <c r="K53" s="3"/>
      <c r="L53" s="2"/>
    </row>
    <row r="54" spans="1:12" hidden="1">
      <c r="A54" s="3"/>
      <c r="B54" s="3"/>
      <c r="C54" s="3"/>
      <c r="D54" s="3"/>
      <c r="E54" s="3"/>
      <c r="F54" s="3"/>
      <c r="G54" s="3"/>
      <c r="H54" s="3"/>
      <c r="I54" s="3"/>
      <c r="J54" s="3"/>
      <c r="K54" s="3"/>
      <c r="L54" s="2"/>
    </row>
    <row r="55" spans="1:12" hidden="1">
      <c r="A55" s="3"/>
      <c r="B55" s="3"/>
      <c r="C55" s="3"/>
      <c r="D55" s="3"/>
      <c r="E55" s="3"/>
      <c r="F55" s="3"/>
      <c r="G55" s="3"/>
      <c r="H55" s="3"/>
      <c r="I55" s="3"/>
      <c r="J55" s="3"/>
      <c r="K55" s="3"/>
      <c r="L55" s="2"/>
    </row>
    <row r="58" spans="1:12">
      <c r="A58" s="503" t="s">
        <v>1909</v>
      </c>
      <c r="B58" s="502"/>
      <c r="C58" s="36">
        <v>2025</v>
      </c>
      <c r="F58" s="36" t="s">
        <v>47</v>
      </c>
      <c r="G58" s="36" t="s">
        <v>1908</v>
      </c>
    </row>
    <row r="59" spans="1:12">
      <c r="A59" s="503" t="s">
        <v>1907</v>
      </c>
      <c r="B59" s="502"/>
      <c r="C59" s="1472">
        <f>L22</f>
        <v>800000</v>
      </c>
      <c r="F59" s="36">
        <v>2021</v>
      </c>
      <c r="G59" s="1471">
        <f>C25</f>
        <v>1.1000000000000001</v>
      </c>
    </row>
    <row r="60" spans="1:12">
      <c r="A60" s="503" t="s">
        <v>1906</v>
      </c>
      <c r="B60" s="502"/>
      <c r="C60" s="1472">
        <f>M22</f>
        <v>200000</v>
      </c>
      <c r="F60" s="36">
        <v>2022</v>
      </c>
      <c r="G60" s="1471">
        <f>C24</f>
        <v>1.4</v>
      </c>
    </row>
    <row r="61" spans="1:12">
      <c r="A61" s="503" t="s">
        <v>2488</v>
      </c>
      <c r="B61" s="502"/>
      <c r="C61" s="1093">
        <f>L19</f>
        <v>0.05</v>
      </c>
      <c r="F61" s="36">
        <v>2023</v>
      </c>
      <c r="G61" s="1471">
        <f>C23</f>
        <v>2</v>
      </c>
    </row>
    <row r="62" spans="1:12">
      <c r="A62" s="503" t="s">
        <v>2487</v>
      </c>
      <c r="B62" s="502"/>
      <c r="C62" s="1093">
        <f>L20</f>
        <v>0.1</v>
      </c>
      <c r="G62" s="1106"/>
    </row>
    <row r="64" spans="1:12" ht="46.8">
      <c r="A64" s="279" t="s">
        <v>1904</v>
      </c>
      <c r="B64" s="279" t="s">
        <v>1903</v>
      </c>
      <c r="C64" s="279" t="s">
        <v>1902</v>
      </c>
      <c r="D64" s="279" t="s">
        <v>499</v>
      </c>
      <c r="E64" s="279" t="s">
        <v>1901</v>
      </c>
      <c r="F64" s="279" t="s">
        <v>1898</v>
      </c>
      <c r="G64" s="279" t="s">
        <v>2486</v>
      </c>
      <c r="H64" s="279" t="s">
        <v>2485</v>
      </c>
      <c r="I64" s="279" t="s">
        <v>2484</v>
      </c>
      <c r="J64" s="279" t="s">
        <v>2483</v>
      </c>
      <c r="K64" s="279" t="s">
        <v>1894</v>
      </c>
    </row>
    <row r="65" spans="1:14">
      <c r="A65" s="1191">
        <f t="shared" ref="A65:C70" si="0">B8</f>
        <v>44378</v>
      </c>
      <c r="B65" s="501">
        <f t="shared" si="0"/>
        <v>120000</v>
      </c>
      <c r="C65" s="501">
        <f t="shared" si="0"/>
        <v>90000</v>
      </c>
      <c r="D65" s="506">
        <f t="shared" ref="D65:D70" si="1">$C$58-YEAR(A65)</f>
        <v>4</v>
      </c>
      <c r="E65" s="506">
        <f t="shared" ref="E65:E70" si="2">B65*(1+$C$61)^$D65</f>
        <v>145860.75</v>
      </c>
      <c r="F65" s="506">
        <f t="shared" ref="F65:F70" si="3">C65*(1+$C$62)^$D65</f>
        <v>131769.00000000003</v>
      </c>
      <c r="G65" s="506">
        <f t="shared" ref="G65:G70" si="4">E65+F65</f>
        <v>277629.75</v>
      </c>
      <c r="H65" s="501">
        <f t="shared" ref="H65:H70" si="5">MAX(0,G65-$C$60)</f>
        <v>77629.75</v>
      </c>
      <c r="I65" s="501">
        <f t="shared" ref="I65:I70" si="6">MIN(H65,$C$59)</f>
        <v>77629.75</v>
      </c>
      <c r="J65" s="1190">
        <f t="shared" ref="J65:J70" si="7">VLOOKUP(YEAR(A65),$F$59:$G$61,2)</f>
        <v>1.1000000000000001</v>
      </c>
      <c r="K65" s="506">
        <f t="shared" ref="K65:K70" si="8">I65*J65</f>
        <v>85392.725000000006</v>
      </c>
      <c r="M65" s="1108"/>
      <c r="N65" s="1108"/>
    </row>
    <row r="66" spans="1:14">
      <c r="A66" s="1191">
        <f t="shared" si="0"/>
        <v>44378</v>
      </c>
      <c r="B66" s="501">
        <f t="shared" si="0"/>
        <v>0</v>
      </c>
      <c r="C66" s="501">
        <f t="shared" si="0"/>
        <v>130000</v>
      </c>
      <c r="D66" s="506">
        <f t="shared" si="1"/>
        <v>4</v>
      </c>
      <c r="E66" s="506">
        <f t="shared" si="2"/>
        <v>0</v>
      </c>
      <c r="F66" s="506">
        <f t="shared" si="3"/>
        <v>190333.00000000006</v>
      </c>
      <c r="G66" s="506">
        <f t="shared" si="4"/>
        <v>190333.00000000006</v>
      </c>
      <c r="H66" s="501">
        <f t="shared" si="5"/>
        <v>0</v>
      </c>
      <c r="I66" s="501">
        <f t="shared" si="6"/>
        <v>0</v>
      </c>
      <c r="J66" s="1190">
        <f t="shared" si="7"/>
        <v>1.1000000000000001</v>
      </c>
      <c r="K66" s="506">
        <f t="shared" si="8"/>
        <v>0</v>
      </c>
      <c r="M66" s="1108"/>
      <c r="N66" s="1108"/>
    </row>
    <row r="67" spans="1:14">
      <c r="A67" s="1191">
        <f t="shared" si="0"/>
        <v>44743</v>
      </c>
      <c r="B67" s="501">
        <f t="shared" si="0"/>
        <v>600000</v>
      </c>
      <c r="C67" s="501">
        <f t="shared" si="0"/>
        <v>250000</v>
      </c>
      <c r="D67" s="506">
        <f t="shared" si="1"/>
        <v>3</v>
      </c>
      <c r="E67" s="506">
        <f t="shared" si="2"/>
        <v>694575.00000000012</v>
      </c>
      <c r="F67" s="506">
        <f t="shared" si="3"/>
        <v>332750.00000000012</v>
      </c>
      <c r="G67" s="506">
        <f t="shared" si="4"/>
        <v>1027325.0000000002</v>
      </c>
      <c r="H67" s="501">
        <f t="shared" si="5"/>
        <v>827325.00000000023</v>
      </c>
      <c r="I67" s="501">
        <f t="shared" si="6"/>
        <v>800000</v>
      </c>
      <c r="J67" s="1190">
        <f t="shared" si="7"/>
        <v>1.4</v>
      </c>
      <c r="K67" s="506">
        <f t="shared" si="8"/>
        <v>1120000</v>
      </c>
      <c r="M67" s="1108"/>
      <c r="N67" s="1108"/>
    </row>
    <row r="68" spans="1:14">
      <c r="A68" s="1191">
        <f t="shared" si="0"/>
        <v>44743</v>
      </c>
      <c r="B68" s="501">
        <f t="shared" si="0"/>
        <v>125000</v>
      </c>
      <c r="C68" s="501">
        <f t="shared" si="0"/>
        <v>0</v>
      </c>
      <c r="D68" s="506">
        <f t="shared" si="1"/>
        <v>3</v>
      </c>
      <c r="E68" s="506">
        <f t="shared" si="2"/>
        <v>144703.12500000003</v>
      </c>
      <c r="F68" s="506">
        <f t="shared" si="3"/>
        <v>0</v>
      </c>
      <c r="G68" s="506">
        <f t="shared" si="4"/>
        <v>144703.12500000003</v>
      </c>
      <c r="H68" s="501">
        <f t="shared" si="5"/>
        <v>0</v>
      </c>
      <c r="I68" s="501">
        <f t="shared" si="6"/>
        <v>0</v>
      </c>
      <c r="J68" s="1190">
        <f t="shared" si="7"/>
        <v>1.4</v>
      </c>
      <c r="K68" s="506">
        <f t="shared" si="8"/>
        <v>0</v>
      </c>
      <c r="M68" s="1108"/>
      <c r="N68" s="1108"/>
    </row>
    <row r="69" spans="1:14">
      <c r="A69" s="1191">
        <f t="shared" si="0"/>
        <v>45108</v>
      </c>
      <c r="B69" s="501">
        <f t="shared" si="0"/>
        <v>140000</v>
      </c>
      <c r="C69" s="501">
        <f t="shared" si="0"/>
        <v>50000</v>
      </c>
      <c r="D69" s="506">
        <f t="shared" si="1"/>
        <v>2</v>
      </c>
      <c r="E69" s="506">
        <f t="shared" si="2"/>
        <v>154350</v>
      </c>
      <c r="F69" s="506">
        <f t="shared" si="3"/>
        <v>60500.000000000007</v>
      </c>
      <c r="G69" s="506">
        <f t="shared" si="4"/>
        <v>214850</v>
      </c>
      <c r="H69" s="501">
        <f t="shared" si="5"/>
        <v>14850</v>
      </c>
      <c r="I69" s="501">
        <f t="shared" si="6"/>
        <v>14850</v>
      </c>
      <c r="J69" s="1190">
        <f t="shared" si="7"/>
        <v>2</v>
      </c>
      <c r="K69" s="506">
        <f t="shared" si="8"/>
        <v>29700</v>
      </c>
      <c r="M69" s="1108"/>
      <c r="N69" s="1108"/>
    </row>
    <row r="70" spans="1:14">
      <c r="A70" s="1191">
        <f t="shared" si="0"/>
        <v>45108</v>
      </c>
      <c r="B70" s="501">
        <f t="shared" si="0"/>
        <v>300000</v>
      </c>
      <c r="C70" s="501">
        <f t="shared" si="0"/>
        <v>225000</v>
      </c>
      <c r="D70" s="506">
        <f t="shared" si="1"/>
        <v>2</v>
      </c>
      <c r="E70" s="506">
        <f t="shared" si="2"/>
        <v>330750</v>
      </c>
      <c r="F70" s="506">
        <f t="shared" si="3"/>
        <v>272250.00000000006</v>
      </c>
      <c r="G70" s="506">
        <f t="shared" si="4"/>
        <v>603000</v>
      </c>
      <c r="H70" s="501">
        <f t="shared" si="5"/>
        <v>403000</v>
      </c>
      <c r="I70" s="501">
        <f t="shared" si="6"/>
        <v>403000</v>
      </c>
      <c r="J70" s="1190">
        <f t="shared" si="7"/>
        <v>2</v>
      </c>
      <c r="K70" s="506">
        <f t="shared" si="8"/>
        <v>806000</v>
      </c>
      <c r="M70" s="1108"/>
      <c r="N70" s="1108"/>
    </row>
    <row r="71" spans="1:14">
      <c r="A71" s="9"/>
      <c r="B71" s="9"/>
      <c r="C71" s="9"/>
      <c r="D71" s="9"/>
      <c r="E71" s="9"/>
      <c r="F71" s="9"/>
      <c r="G71" s="9"/>
      <c r="H71" s="9"/>
      <c r="I71" s="9"/>
      <c r="J71" s="9"/>
      <c r="K71" s="506">
        <f>SUM(K65:K70)</f>
        <v>2041092.7250000001</v>
      </c>
    </row>
    <row r="73" spans="1:14">
      <c r="A73" s="9" t="s">
        <v>1936</v>
      </c>
      <c r="B73" s="501">
        <f>L17*3</f>
        <v>30000000</v>
      </c>
      <c r="C73" s="729"/>
      <c r="E73" s="500"/>
      <c r="F73" s="500"/>
      <c r="G73" s="500"/>
      <c r="H73" s="500"/>
      <c r="I73" s="500"/>
      <c r="J73" s="500"/>
      <c r="K73" s="500"/>
    </row>
    <row r="74" spans="1:14">
      <c r="C74" s="729"/>
    </row>
    <row r="75" spans="1:14" ht="46.8">
      <c r="A75" s="508" t="s">
        <v>2482</v>
      </c>
      <c r="B75" s="1470">
        <f>K71/B73</f>
        <v>6.8036424166666665E-2</v>
      </c>
    </row>
  </sheetData>
  <mergeCells count="2">
    <mergeCell ref="A2:K2"/>
    <mergeCell ref="B6:D6"/>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98DD6-AAC6-44F8-AF4C-7F0ADAE57657}">
  <sheetPr>
    <tabColor theme="1"/>
  </sheetPr>
  <dimension ref="A1"/>
  <sheetViews>
    <sheetView workbookViewId="0">
      <selection activeCell="H37" sqref="H37"/>
    </sheetView>
  </sheetViews>
  <sheetFormatPr defaultRowHeight="14.4"/>
  <sheetData>
    <row r="1" spans="1:1">
      <c r="A1" t="s">
        <v>0</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5B40C-5374-488B-A42E-828185A0BFED}">
  <dimension ref="A1:R37"/>
  <sheetViews>
    <sheetView zoomScaleNormal="100" workbookViewId="0"/>
  </sheetViews>
  <sheetFormatPr defaultColWidth="8.88671875" defaultRowHeight="15.6"/>
  <cols>
    <col min="1" max="1" width="8.88671875" style="1" customWidth="1"/>
    <col min="2" max="3" width="12.77734375" style="1" customWidth="1"/>
    <col min="4" max="7" width="10.77734375" style="1" customWidth="1"/>
    <col min="8" max="8" width="8.88671875" style="1" customWidth="1"/>
    <col min="9" max="16384" width="8.88671875" style="1"/>
  </cols>
  <sheetData>
    <row r="1" spans="1:12" ht="17.399999999999999">
      <c r="A1" s="23" t="s">
        <v>1705</v>
      </c>
      <c r="B1" s="22"/>
      <c r="C1" s="22" t="s">
        <v>758</v>
      </c>
      <c r="D1" s="22"/>
      <c r="E1" s="22"/>
      <c r="F1" s="22"/>
      <c r="G1" s="22"/>
      <c r="H1" s="22"/>
      <c r="I1" s="22"/>
      <c r="J1" s="22"/>
      <c r="K1" s="22"/>
      <c r="L1" s="2"/>
    </row>
    <row r="2" spans="1:12">
      <c r="A2" s="22"/>
      <c r="B2" s="22"/>
      <c r="C2" s="22"/>
      <c r="D2" s="22"/>
      <c r="E2" s="22"/>
      <c r="F2" s="22"/>
      <c r="G2" s="22"/>
      <c r="H2" s="22"/>
      <c r="I2" s="22"/>
      <c r="J2" s="22"/>
      <c r="K2" s="22"/>
      <c r="L2" s="2"/>
    </row>
    <row r="3" spans="1:12">
      <c r="A3" s="2"/>
      <c r="B3" s="2"/>
      <c r="C3" s="2"/>
      <c r="D3" s="2"/>
      <c r="E3" s="2"/>
      <c r="F3" s="2"/>
      <c r="G3" s="2"/>
      <c r="H3" s="2"/>
      <c r="I3" s="2"/>
      <c r="J3" s="2"/>
      <c r="K3" s="2"/>
      <c r="L3" s="2"/>
    </row>
    <row r="4" spans="1:12">
      <c r="A4" s="341" t="s">
        <v>667</v>
      </c>
      <c r="B4" s="2"/>
      <c r="C4" s="2"/>
      <c r="D4" s="2"/>
      <c r="E4" s="2"/>
      <c r="F4" s="2"/>
      <c r="G4" s="2"/>
      <c r="H4" s="2"/>
      <c r="I4" s="2"/>
      <c r="J4" s="2"/>
      <c r="K4" s="2"/>
      <c r="L4" s="2"/>
    </row>
    <row r="5" spans="1:12">
      <c r="A5" s="418"/>
      <c r="B5" s="418"/>
      <c r="C5" s="418"/>
      <c r="D5" s="418"/>
      <c r="E5" s="418"/>
      <c r="F5" s="418"/>
      <c r="G5" s="418"/>
      <c r="H5" s="418"/>
      <c r="I5" s="418"/>
      <c r="J5" s="418"/>
      <c r="K5" s="418"/>
      <c r="L5" s="418"/>
    </row>
    <row r="6" spans="1:12">
      <c r="A6" s="1724" t="s">
        <v>2516</v>
      </c>
      <c r="B6" s="1764"/>
      <c r="C6" s="1764"/>
      <c r="D6" s="1764"/>
      <c r="E6" s="1764"/>
      <c r="F6" s="1764"/>
      <c r="G6" s="1764"/>
      <c r="H6" s="1764"/>
      <c r="I6" s="1764"/>
      <c r="J6" s="1764"/>
      <c r="K6" s="1764"/>
      <c r="L6" s="1764"/>
    </row>
    <row r="7" spans="1:12">
      <c r="A7" s="1764"/>
      <c r="B7" s="1764"/>
      <c r="C7" s="1764"/>
      <c r="D7" s="1764"/>
      <c r="E7" s="1764"/>
      <c r="F7" s="1764"/>
      <c r="G7" s="1764"/>
      <c r="H7" s="1764"/>
      <c r="I7" s="1764"/>
      <c r="J7" s="1764"/>
      <c r="K7" s="1764"/>
      <c r="L7" s="1764"/>
    </row>
    <row r="8" spans="1:12">
      <c r="A8" s="22"/>
      <c r="B8" s="22"/>
      <c r="C8" s="22"/>
      <c r="D8" s="22"/>
      <c r="E8" s="22"/>
      <c r="F8" s="22"/>
      <c r="G8" s="22"/>
      <c r="H8" s="22"/>
      <c r="I8" s="22"/>
      <c r="J8" s="22"/>
      <c r="K8" s="22"/>
      <c r="L8" s="22"/>
    </row>
    <row r="9" spans="1:12">
      <c r="A9" s="22" t="s">
        <v>1254</v>
      </c>
      <c r="B9" s="22"/>
      <c r="C9" s="22"/>
      <c r="D9" s="22"/>
      <c r="E9" s="22"/>
      <c r="F9" s="22"/>
      <c r="G9" s="22"/>
      <c r="H9" s="22"/>
      <c r="I9" s="22"/>
      <c r="J9" s="22"/>
      <c r="K9" s="22"/>
      <c r="L9" s="22"/>
    </row>
    <row r="10" spans="1:12">
      <c r="A10" s="22"/>
      <c r="B10" s="22"/>
      <c r="C10" s="22"/>
      <c r="D10" s="22"/>
      <c r="E10" s="22"/>
      <c r="F10" s="22"/>
      <c r="G10" s="22"/>
      <c r="H10" s="22"/>
      <c r="I10" s="22"/>
      <c r="J10" s="22"/>
      <c r="K10" s="22"/>
      <c r="L10" s="22"/>
    </row>
    <row r="11" spans="1:12" ht="32.4" customHeight="1">
      <c r="A11" s="22"/>
      <c r="B11" s="1757"/>
      <c r="C11" s="1757"/>
      <c r="D11" s="1751" t="s">
        <v>2515</v>
      </c>
      <c r="E11" s="1751"/>
      <c r="F11" s="1751" t="s">
        <v>2514</v>
      </c>
      <c r="G11" s="1751"/>
      <c r="H11" s="22"/>
      <c r="I11" s="22"/>
      <c r="J11" s="22"/>
      <c r="K11" s="22"/>
      <c r="L11" s="22"/>
    </row>
    <row r="12" spans="1:12">
      <c r="A12" s="22"/>
      <c r="B12" s="1944" t="s">
        <v>2513</v>
      </c>
      <c r="C12" s="1945"/>
      <c r="D12" s="1762">
        <v>50000</v>
      </c>
      <c r="E12" s="1762"/>
      <c r="F12" s="1762">
        <v>750000</v>
      </c>
      <c r="G12" s="1762"/>
      <c r="H12" s="22"/>
      <c r="I12" s="22"/>
      <c r="J12" s="22"/>
      <c r="K12" s="22"/>
      <c r="L12" s="22"/>
    </row>
    <row r="13" spans="1:12">
      <c r="A13" s="22"/>
      <c r="B13" s="1944" t="s">
        <v>2512</v>
      </c>
      <c r="C13" s="1945"/>
      <c r="D13" s="1757" t="s">
        <v>2511</v>
      </c>
      <c r="E13" s="1757"/>
      <c r="F13" s="1762">
        <v>850000</v>
      </c>
      <c r="G13" s="1762"/>
      <c r="H13" s="22"/>
      <c r="I13" s="22"/>
      <c r="J13" s="22"/>
      <c r="K13" s="22"/>
      <c r="L13" s="22"/>
    </row>
    <row r="14" spans="1:12">
      <c r="A14" s="22"/>
      <c r="B14" s="1944" t="s">
        <v>2510</v>
      </c>
      <c r="C14" s="1945"/>
      <c r="D14" s="1757" t="s">
        <v>2509</v>
      </c>
      <c r="E14" s="1757"/>
      <c r="F14" s="1762">
        <v>770000</v>
      </c>
      <c r="G14" s="1762"/>
      <c r="H14" s="22"/>
      <c r="I14" s="22"/>
      <c r="J14" s="22"/>
      <c r="K14" s="22"/>
      <c r="L14" s="22"/>
    </row>
    <row r="15" spans="1:12">
      <c r="A15" s="22"/>
      <c r="B15" s="22"/>
      <c r="C15" s="22"/>
      <c r="D15" s="22"/>
      <c r="E15" s="22"/>
      <c r="F15" s="22"/>
      <c r="G15" s="22"/>
      <c r="H15" s="22"/>
      <c r="I15" s="22"/>
      <c r="J15" s="22"/>
      <c r="K15" s="22"/>
      <c r="L15" s="22"/>
    </row>
    <row r="16" spans="1:12">
      <c r="A16" s="2"/>
      <c r="B16" s="2"/>
      <c r="C16" s="2"/>
      <c r="D16" s="2"/>
      <c r="E16" s="2"/>
      <c r="F16" s="2"/>
      <c r="G16" s="2"/>
      <c r="H16" s="2"/>
      <c r="I16" s="2"/>
      <c r="J16" s="2"/>
      <c r="K16" s="2"/>
      <c r="L16" s="2"/>
    </row>
    <row r="17" spans="1:18">
      <c r="A17" s="341" t="s">
        <v>666</v>
      </c>
      <c r="B17" s="2"/>
      <c r="C17" s="2"/>
      <c r="D17" s="2"/>
      <c r="E17" s="2"/>
      <c r="F17" s="2"/>
      <c r="G17" s="2"/>
      <c r="H17" s="2"/>
      <c r="I17" s="2"/>
      <c r="J17" s="2"/>
      <c r="K17" s="2"/>
      <c r="L17" s="2"/>
    </row>
    <row r="18" spans="1:18">
      <c r="A18" s="418"/>
      <c r="B18" s="418"/>
      <c r="C18" s="418"/>
      <c r="D18" s="418"/>
      <c r="E18" s="418"/>
      <c r="F18" s="418"/>
      <c r="G18" s="418"/>
      <c r="H18" s="418"/>
      <c r="I18" s="418"/>
      <c r="J18" s="418"/>
      <c r="K18" s="418"/>
      <c r="L18" s="418"/>
    </row>
    <row r="19" spans="1:18">
      <c r="A19" s="1724" t="s">
        <v>2508</v>
      </c>
      <c r="B19" s="1764"/>
      <c r="C19" s="1764"/>
      <c r="D19" s="1764"/>
      <c r="E19" s="1764"/>
      <c r="F19" s="1764"/>
      <c r="G19" s="1764"/>
      <c r="H19" s="1764"/>
      <c r="I19" s="1764"/>
      <c r="J19" s="1764"/>
      <c r="K19" s="1764"/>
      <c r="L19" s="1764"/>
    </row>
    <row r="20" spans="1:18">
      <c r="A20" s="1764"/>
      <c r="B20" s="1764"/>
      <c r="C20" s="1764"/>
      <c r="D20" s="1764"/>
      <c r="E20" s="1764"/>
      <c r="F20" s="1764"/>
      <c r="G20" s="1764"/>
      <c r="H20" s="1764"/>
      <c r="I20" s="1764"/>
      <c r="J20" s="1764"/>
      <c r="K20" s="1764"/>
      <c r="L20" s="1764"/>
    </row>
    <row r="21" spans="1:18">
      <c r="A21" s="22"/>
      <c r="B21" s="22"/>
      <c r="C21" s="22"/>
      <c r="D21" s="22"/>
      <c r="E21" s="22"/>
      <c r="F21" s="22"/>
      <c r="G21" s="22"/>
      <c r="H21" s="22"/>
      <c r="I21" s="22"/>
      <c r="J21" s="22"/>
      <c r="K21" s="22"/>
      <c r="L21" s="22"/>
    </row>
    <row r="22" spans="1:18">
      <c r="A22" s="418"/>
      <c r="B22" s="418"/>
      <c r="C22" s="418"/>
      <c r="D22" s="418"/>
      <c r="E22" s="418"/>
      <c r="F22" s="418"/>
      <c r="G22" s="418"/>
      <c r="H22" s="418"/>
      <c r="I22" s="418"/>
      <c r="J22" s="418"/>
      <c r="K22" s="418"/>
      <c r="L22" s="418"/>
    </row>
    <row r="23" spans="1:18">
      <c r="A23" s="577" t="s">
        <v>7</v>
      </c>
      <c r="B23" s="22" t="s">
        <v>2507</v>
      </c>
      <c r="C23" s="22"/>
      <c r="D23" s="22"/>
      <c r="E23" s="22"/>
      <c r="F23" s="22"/>
      <c r="G23" s="22"/>
      <c r="H23" s="22"/>
      <c r="I23" s="22"/>
      <c r="J23" s="22"/>
      <c r="K23" s="22"/>
      <c r="L23" s="22"/>
      <c r="M23" s="328"/>
      <c r="N23" s="328"/>
      <c r="O23" s="328"/>
      <c r="P23" s="328"/>
      <c r="Q23" s="328"/>
      <c r="R23" s="328"/>
    </row>
    <row r="24" spans="1:18">
      <c r="A24" s="2"/>
      <c r="B24" s="2"/>
      <c r="C24" s="2"/>
      <c r="D24" s="2"/>
      <c r="E24" s="2"/>
      <c r="F24" s="2"/>
      <c r="G24" s="22"/>
      <c r="H24" s="22"/>
      <c r="I24" s="22"/>
      <c r="J24" s="22"/>
      <c r="K24" s="22"/>
      <c r="L24" s="22"/>
    </row>
    <row r="25" spans="1:18">
      <c r="A25" s="37"/>
      <c r="B25" s="37"/>
      <c r="C25" s="37"/>
      <c r="D25" s="37"/>
      <c r="E25" s="37"/>
      <c r="F25" s="37"/>
      <c r="G25" s="37"/>
      <c r="H25" s="37"/>
      <c r="I25" s="37"/>
      <c r="J25" s="37"/>
      <c r="K25" s="37"/>
      <c r="L25" s="37"/>
      <c r="M25" s="37"/>
    </row>
    <row r="26" spans="1:18">
      <c r="A26" s="37" t="s">
        <v>2506</v>
      </c>
      <c r="B26" s="37"/>
      <c r="C26" s="37"/>
      <c r="D26" s="37"/>
      <c r="E26" s="37"/>
      <c r="F26" s="37"/>
      <c r="G26" s="37"/>
      <c r="H26" s="37"/>
      <c r="I26" s="37"/>
      <c r="J26" s="37"/>
      <c r="K26" s="37"/>
      <c r="L26" s="37"/>
      <c r="M26" s="37"/>
      <c r="N26" s="328"/>
    </row>
    <row r="27" spans="1:18">
      <c r="A27" s="37" t="s">
        <v>2505</v>
      </c>
      <c r="B27" s="87"/>
      <c r="C27" s="429">
        <v>5000</v>
      </c>
      <c r="D27" s="87"/>
      <c r="E27" s="87"/>
      <c r="F27" s="87"/>
      <c r="I27" s="37"/>
      <c r="J27" s="37"/>
      <c r="K27" s="37"/>
      <c r="L27" s="37"/>
      <c r="M27" s="37"/>
      <c r="N27" s="328"/>
    </row>
    <row r="28" spans="1:18">
      <c r="A28" s="37" t="s">
        <v>2504</v>
      </c>
      <c r="B28" s="87"/>
      <c r="C28" s="1479">
        <v>0.13700000000000001</v>
      </c>
      <c r="D28" s="87"/>
      <c r="E28" s="87"/>
      <c r="F28" s="87"/>
      <c r="I28" s="37"/>
      <c r="J28" s="37"/>
      <c r="K28" s="37"/>
      <c r="L28" s="37"/>
      <c r="M28" s="37"/>
      <c r="N28" s="328"/>
    </row>
    <row r="29" spans="1:18">
      <c r="A29" s="37" t="s">
        <v>2503</v>
      </c>
      <c r="B29" s="87"/>
      <c r="C29" s="592">
        <v>0.27</v>
      </c>
      <c r="D29" s="87"/>
      <c r="E29" s="87"/>
      <c r="F29" s="87"/>
      <c r="M29" s="328"/>
      <c r="N29" s="328"/>
    </row>
    <row r="30" spans="1:18">
      <c r="A30" s="37" t="s">
        <v>2502</v>
      </c>
      <c r="B30" s="87"/>
      <c r="C30" s="429">
        <v>440</v>
      </c>
      <c r="D30" s="87"/>
      <c r="E30" s="87"/>
      <c r="F30" s="87"/>
      <c r="M30" s="328"/>
      <c r="N30" s="328"/>
    </row>
    <row r="31" spans="1:18">
      <c r="A31" s="37"/>
      <c r="B31" s="87"/>
      <c r="C31" s="37"/>
      <c r="D31" s="37"/>
      <c r="E31" s="87"/>
      <c r="F31" s="87"/>
      <c r="M31" s="328"/>
      <c r="N31" s="328"/>
    </row>
    <row r="32" spans="1:18">
      <c r="A32" s="37" t="s">
        <v>2501</v>
      </c>
      <c r="B32" s="87"/>
      <c r="C32" s="429">
        <f>C27*(1-C28)</f>
        <v>4315</v>
      </c>
      <c r="D32" s="87"/>
      <c r="E32" s="87"/>
      <c r="F32" s="87"/>
      <c r="M32" s="328"/>
      <c r="N32" s="328"/>
    </row>
    <row r="33" spans="1:14">
      <c r="A33" s="37" t="s">
        <v>2500</v>
      </c>
      <c r="B33" s="87"/>
      <c r="C33" s="1430">
        <f>(C32+C30)/(1-C29)</f>
        <v>6513.6986301369861</v>
      </c>
      <c r="D33" s="87"/>
      <c r="E33" s="87"/>
      <c r="F33" s="87"/>
      <c r="M33" s="328"/>
      <c r="N33" s="328"/>
    </row>
    <row r="35" spans="1:14">
      <c r="A35" s="341" t="s">
        <v>1262</v>
      </c>
      <c r="B35" s="2"/>
      <c r="C35" s="2"/>
      <c r="D35" s="2"/>
      <c r="E35" s="2"/>
      <c r="F35" s="2"/>
      <c r="G35" s="2"/>
      <c r="H35" s="2"/>
      <c r="I35" s="2"/>
      <c r="J35" s="2"/>
      <c r="K35" s="2"/>
      <c r="L35" s="2"/>
    </row>
    <row r="36" spans="1:14">
      <c r="A36" s="418"/>
      <c r="B36" s="418"/>
      <c r="C36" s="418"/>
      <c r="D36" s="418"/>
      <c r="E36" s="418"/>
      <c r="F36" s="418"/>
      <c r="G36" s="418"/>
      <c r="H36" s="418"/>
      <c r="I36" s="418"/>
      <c r="J36" s="418"/>
      <c r="K36" s="418"/>
      <c r="L36" s="418"/>
    </row>
    <row r="37" spans="1:14">
      <c r="A37" s="341" t="s">
        <v>1223</v>
      </c>
      <c r="B37" s="2"/>
      <c r="C37" s="2"/>
      <c r="D37" s="2"/>
      <c r="E37" s="2"/>
      <c r="F37" s="2"/>
      <c r="G37" s="2"/>
      <c r="H37" s="2"/>
      <c r="I37" s="2"/>
      <c r="J37" s="2"/>
      <c r="K37" s="2"/>
      <c r="L37" s="2"/>
    </row>
  </sheetData>
  <mergeCells count="14">
    <mergeCell ref="A19:L20"/>
    <mergeCell ref="B13:C13"/>
    <mergeCell ref="D13:E13"/>
    <mergeCell ref="F13:G13"/>
    <mergeCell ref="B14:C14"/>
    <mergeCell ref="D14:E14"/>
    <mergeCell ref="F14:G14"/>
    <mergeCell ref="A6:L7"/>
    <mergeCell ref="B11:C11"/>
    <mergeCell ref="D11:E11"/>
    <mergeCell ref="F11:G11"/>
    <mergeCell ref="B12:C12"/>
    <mergeCell ref="D12:E12"/>
    <mergeCell ref="F12:G12"/>
  </mergeCells>
  <pageMargins left="0.39370078740157483" right="0.39370078740157483" top="0.39370078740157483" bottom="0.39370078740157483" header="0.31496062992125984" footer="0.31496062992125984"/>
  <pageSetup scale="80" orientation="portrait" verticalDpi="1200" r:id="rId1"/>
  <headerFooter>
    <oddFooter>&amp;L&amp;F [&amp;A]&amp;R&amp;P of &amp;N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62274-DB14-45E3-9A01-00DD6B3377DC}">
  <dimension ref="A1:R41"/>
  <sheetViews>
    <sheetView zoomScaleNormal="100" workbookViewId="0"/>
  </sheetViews>
  <sheetFormatPr defaultColWidth="8.88671875" defaultRowHeight="15.6"/>
  <cols>
    <col min="1" max="1" width="8.88671875" style="1" customWidth="1"/>
    <col min="2" max="2" width="14.44140625" style="1" customWidth="1"/>
    <col min="3" max="3" width="21.88671875" style="1" customWidth="1"/>
    <col min="4" max="4" width="22.33203125" style="1" customWidth="1"/>
    <col min="5" max="5" width="18.88671875" style="1" customWidth="1"/>
    <col min="6" max="6" width="8.88671875" style="1" customWidth="1"/>
    <col min="7" max="7" width="8.88671875" style="1"/>
    <col min="8" max="8" width="8.88671875" style="1" customWidth="1"/>
    <col min="9" max="16384" width="8.88671875" style="1"/>
  </cols>
  <sheetData>
    <row r="1" spans="1:12" ht="17.399999999999999">
      <c r="A1" s="23" t="s">
        <v>669</v>
      </c>
      <c r="B1" s="22"/>
      <c r="C1" s="22" t="s">
        <v>668</v>
      </c>
      <c r="D1" s="22"/>
      <c r="E1" s="22"/>
      <c r="F1" s="22"/>
      <c r="G1" s="22"/>
      <c r="H1" s="22"/>
      <c r="I1" s="22"/>
      <c r="J1" s="22"/>
      <c r="K1" s="22"/>
      <c r="L1" s="2"/>
    </row>
    <row r="2" spans="1:12">
      <c r="A2" s="22"/>
      <c r="B2" s="22"/>
      <c r="C2" s="22"/>
      <c r="D2" s="22"/>
      <c r="E2" s="22"/>
      <c r="F2" s="22"/>
      <c r="G2" s="22"/>
      <c r="H2" s="22"/>
      <c r="I2" s="22"/>
      <c r="J2" s="22"/>
      <c r="K2" s="22"/>
      <c r="L2" s="2"/>
    </row>
    <row r="3" spans="1:12">
      <c r="A3" s="2"/>
      <c r="B3" s="2"/>
      <c r="C3" s="2"/>
      <c r="D3" s="2"/>
      <c r="E3" s="2"/>
      <c r="F3" s="2"/>
      <c r="G3" s="2"/>
      <c r="H3" s="2"/>
      <c r="I3" s="2"/>
      <c r="J3" s="2"/>
      <c r="K3" s="2"/>
      <c r="L3" s="2"/>
    </row>
    <row r="4" spans="1:12">
      <c r="A4" s="341" t="s">
        <v>667</v>
      </c>
      <c r="B4" s="2"/>
      <c r="C4" s="2"/>
      <c r="D4" s="2"/>
      <c r="E4" s="2"/>
      <c r="F4" s="2"/>
      <c r="G4" s="2"/>
      <c r="H4" s="2"/>
      <c r="I4" s="2"/>
      <c r="J4" s="2"/>
      <c r="K4" s="2"/>
      <c r="L4" s="2"/>
    </row>
    <row r="5" spans="1:12">
      <c r="A5" s="418"/>
      <c r="B5" s="418"/>
      <c r="C5" s="418"/>
      <c r="D5" s="418"/>
      <c r="E5" s="418"/>
      <c r="F5" s="418"/>
      <c r="G5" s="418"/>
      <c r="H5" s="418"/>
      <c r="I5" s="418"/>
      <c r="J5" s="418"/>
      <c r="K5" s="418"/>
      <c r="L5" s="418"/>
    </row>
    <row r="6" spans="1:12">
      <c r="A6" s="341" t="s">
        <v>666</v>
      </c>
      <c r="B6" s="2"/>
      <c r="C6" s="2"/>
      <c r="D6" s="2"/>
      <c r="E6" s="2"/>
      <c r="F6" s="2"/>
      <c r="G6" s="2"/>
      <c r="H6" s="2"/>
      <c r="I6" s="2"/>
      <c r="J6" s="2"/>
      <c r="K6" s="2"/>
      <c r="L6" s="2"/>
    </row>
    <row r="7" spans="1:12">
      <c r="A7" s="418"/>
      <c r="B7" s="418"/>
      <c r="C7" s="418"/>
      <c r="D7" s="418"/>
      <c r="E7" s="418"/>
      <c r="F7" s="418"/>
      <c r="G7" s="418"/>
      <c r="H7" s="418"/>
      <c r="I7" s="418"/>
      <c r="J7" s="418"/>
      <c r="K7" s="418"/>
      <c r="L7" s="418"/>
    </row>
    <row r="8" spans="1:12">
      <c r="A8" s="22"/>
      <c r="B8" s="22"/>
      <c r="C8" s="22"/>
      <c r="D8" s="22"/>
      <c r="E8" s="22"/>
      <c r="F8" s="22"/>
      <c r="G8" s="22"/>
      <c r="H8" s="22"/>
      <c r="I8" s="22"/>
      <c r="J8" s="22"/>
      <c r="K8" s="22"/>
      <c r="L8" s="22"/>
    </row>
    <row r="9" spans="1:12">
      <c r="A9" s="22" t="s">
        <v>1254</v>
      </c>
      <c r="B9" s="22"/>
      <c r="C9" s="22"/>
      <c r="D9" s="22"/>
      <c r="E9" s="22"/>
      <c r="F9" s="22"/>
      <c r="G9" s="22"/>
      <c r="H9" s="22"/>
      <c r="I9" s="22"/>
      <c r="J9" s="22"/>
      <c r="K9" s="22"/>
      <c r="L9" s="22"/>
    </row>
    <row r="10" spans="1:12">
      <c r="A10" s="22"/>
      <c r="B10" s="22"/>
      <c r="C10" s="22"/>
      <c r="D10" s="22"/>
      <c r="E10" s="22"/>
      <c r="F10" s="22"/>
      <c r="G10" s="22"/>
      <c r="H10" s="22"/>
      <c r="I10" s="22"/>
      <c r="J10" s="22"/>
      <c r="K10" s="22"/>
      <c r="L10" s="22"/>
    </row>
    <row r="11" spans="1:12" ht="51" customHeight="1">
      <c r="A11" s="22"/>
      <c r="B11" s="796" t="s">
        <v>2529</v>
      </c>
      <c r="C11" s="332" t="s">
        <v>2535</v>
      </c>
      <c r="D11" s="332" t="s">
        <v>2534</v>
      </c>
      <c r="E11" s="22"/>
      <c r="F11" s="22"/>
      <c r="G11" s="22"/>
      <c r="H11" s="22"/>
      <c r="I11" s="22"/>
      <c r="J11" s="22"/>
      <c r="K11" s="22"/>
      <c r="L11" s="22"/>
    </row>
    <row r="12" spans="1:12">
      <c r="A12" s="22"/>
      <c r="B12" s="625" t="s">
        <v>2525</v>
      </c>
      <c r="C12" s="959">
        <v>13.82</v>
      </c>
      <c r="D12" s="959">
        <v>27.65</v>
      </c>
      <c r="E12" s="22"/>
      <c r="F12" s="22"/>
      <c r="G12" s="22"/>
      <c r="H12" s="22"/>
      <c r="I12" s="22"/>
      <c r="J12" s="22"/>
      <c r="K12" s="22"/>
      <c r="L12" s="22"/>
    </row>
    <row r="13" spans="1:12">
      <c r="A13" s="22"/>
      <c r="B13" s="625" t="s">
        <v>2524</v>
      </c>
      <c r="C13" s="959">
        <v>5.54</v>
      </c>
      <c r="D13" s="959">
        <v>11.08</v>
      </c>
      <c r="E13" s="22"/>
      <c r="F13" s="22"/>
      <c r="G13" s="22"/>
      <c r="H13" s="22"/>
      <c r="I13" s="22"/>
      <c r="J13" s="22"/>
      <c r="K13" s="22"/>
      <c r="L13" s="22"/>
    </row>
    <row r="14" spans="1:12">
      <c r="A14" s="22"/>
      <c r="B14" s="625" t="s">
        <v>2523</v>
      </c>
      <c r="C14" s="959">
        <v>5.26</v>
      </c>
      <c r="D14" s="959">
        <v>10.51</v>
      </c>
      <c r="E14" s="22"/>
      <c r="F14" s="22"/>
      <c r="G14" s="22"/>
      <c r="H14" s="22"/>
      <c r="I14" s="22"/>
      <c r="J14" s="22"/>
      <c r="K14" s="22"/>
      <c r="L14" s="22"/>
    </row>
    <row r="15" spans="1:12">
      <c r="A15" s="22"/>
      <c r="B15" s="625" t="s">
        <v>2522</v>
      </c>
      <c r="C15" s="959">
        <v>7.6</v>
      </c>
      <c r="D15" s="959">
        <v>15.21</v>
      </c>
      <c r="E15" s="22"/>
      <c r="F15" s="22"/>
      <c r="G15" s="22"/>
      <c r="H15" s="22"/>
      <c r="I15" s="22"/>
      <c r="J15" s="22"/>
      <c r="K15" s="22"/>
      <c r="L15" s="22"/>
    </row>
    <row r="16" spans="1:12">
      <c r="A16" s="22"/>
      <c r="B16" s="625" t="s">
        <v>2521</v>
      </c>
      <c r="C16" s="959">
        <v>0.75</v>
      </c>
      <c r="D16" s="959">
        <v>1.51</v>
      </c>
      <c r="E16" s="22"/>
      <c r="F16" s="22"/>
      <c r="G16" s="22"/>
      <c r="H16" s="22"/>
      <c r="I16" s="22"/>
      <c r="J16" s="22"/>
      <c r="K16" s="22"/>
      <c r="L16" s="22"/>
    </row>
    <row r="17" spans="1:18">
      <c r="A17" s="22"/>
      <c r="B17" s="625" t="s">
        <v>2520</v>
      </c>
      <c r="C17" s="959">
        <v>0.36</v>
      </c>
      <c r="D17" s="959">
        <v>0.72</v>
      </c>
      <c r="E17" s="22"/>
      <c r="F17" s="22"/>
      <c r="G17" s="22"/>
      <c r="H17" s="22"/>
      <c r="I17" s="22"/>
      <c r="J17" s="22"/>
      <c r="K17" s="22"/>
      <c r="L17" s="22"/>
    </row>
    <row r="18" spans="1:18">
      <c r="A18" s="22"/>
      <c r="B18" s="625" t="s">
        <v>2519</v>
      </c>
      <c r="C18" s="959">
        <v>1.91</v>
      </c>
      <c r="D18" s="959">
        <v>3.81</v>
      </c>
      <c r="E18" s="22"/>
      <c r="F18" s="22"/>
      <c r="G18" s="22"/>
      <c r="H18" s="22"/>
      <c r="I18" s="22"/>
      <c r="J18" s="22"/>
      <c r="K18" s="22"/>
      <c r="L18" s="22"/>
    </row>
    <row r="19" spans="1:18">
      <c r="A19" s="22"/>
      <c r="B19" s="625" t="s">
        <v>2518</v>
      </c>
      <c r="C19" s="959">
        <v>0.25</v>
      </c>
      <c r="D19" s="959">
        <v>0.49</v>
      </c>
      <c r="E19" s="22"/>
      <c r="F19" s="22"/>
      <c r="G19" s="22"/>
      <c r="H19" s="22"/>
      <c r="I19" s="22"/>
      <c r="J19" s="22"/>
      <c r="K19" s="22"/>
      <c r="L19" s="22"/>
    </row>
    <row r="20" spans="1:18">
      <c r="A20" s="22"/>
      <c r="B20" s="625" t="s">
        <v>2517</v>
      </c>
      <c r="C20" s="959">
        <v>1.74</v>
      </c>
      <c r="D20" s="959">
        <v>3.48</v>
      </c>
      <c r="E20" s="22"/>
      <c r="F20" s="22"/>
      <c r="G20" s="22"/>
      <c r="H20" s="22"/>
      <c r="I20" s="22"/>
      <c r="J20" s="22"/>
      <c r="K20" s="22"/>
      <c r="L20" s="22"/>
    </row>
    <row r="21" spans="1:18">
      <c r="A21" s="22"/>
      <c r="B21" s="22"/>
      <c r="C21" s="22"/>
      <c r="D21" s="22"/>
      <c r="E21" s="22"/>
      <c r="F21" s="22"/>
      <c r="G21" s="22"/>
      <c r="H21" s="22"/>
      <c r="I21" s="22"/>
      <c r="J21" s="22"/>
      <c r="K21" s="22"/>
      <c r="L21" s="22"/>
    </row>
    <row r="22" spans="1:18">
      <c r="A22" s="22"/>
      <c r="B22" s="593" t="s">
        <v>2533</v>
      </c>
      <c r="C22" s="22"/>
      <c r="D22" s="22"/>
      <c r="E22" s="22"/>
      <c r="F22" s="22"/>
      <c r="G22" s="22"/>
      <c r="H22" s="22"/>
      <c r="I22" s="22"/>
      <c r="J22" s="22"/>
      <c r="K22" s="22"/>
      <c r="L22" s="22"/>
    </row>
    <row r="23" spans="1:18">
      <c r="A23" s="22"/>
      <c r="B23" s="593" t="s">
        <v>2532</v>
      </c>
      <c r="C23" s="22"/>
      <c r="D23" s="22"/>
      <c r="E23" s="22"/>
      <c r="F23" s="22"/>
      <c r="G23" s="22"/>
      <c r="H23" s="22"/>
      <c r="I23" s="22"/>
      <c r="J23" s="22"/>
      <c r="K23" s="22"/>
      <c r="L23" s="22"/>
    </row>
    <row r="24" spans="1:18">
      <c r="A24" s="22"/>
      <c r="B24" s="593" t="s">
        <v>2531</v>
      </c>
      <c r="C24" s="22"/>
      <c r="D24" s="22"/>
      <c r="E24" s="22"/>
      <c r="F24" s="22"/>
      <c r="G24" s="22"/>
      <c r="H24" s="22"/>
      <c r="I24" s="22"/>
      <c r="J24" s="22"/>
      <c r="K24" s="22"/>
      <c r="L24" s="22"/>
    </row>
    <row r="25" spans="1:18">
      <c r="A25" s="22"/>
      <c r="B25" s="22"/>
      <c r="C25" s="22"/>
      <c r="D25" s="22"/>
      <c r="E25" s="22"/>
      <c r="F25" s="22"/>
      <c r="G25" s="22"/>
      <c r="H25" s="22"/>
      <c r="I25" s="22"/>
      <c r="J25" s="22"/>
      <c r="K25" s="22"/>
      <c r="L25" s="22"/>
    </row>
    <row r="26" spans="1:18">
      <c r="A26" s="418"/>
      <c r="B26" s="418"/>
      <c r="C26" s="418"/>
      <c r="D26" s="418"/>
      <c r="E26" s="418"/>
      <c r="F26" s="418"/>
      <c r="G26" s="418"/>
      <c r="H26" s="418"/>
      <c r="I26" s="418"/>
      <c r="J26" s="418"/>
      <c r="K26" s="418"/>
      <c r="L26" s="418"/>
    </row>
    <row r="27" spans="1:18">
      <c r="A27" s="577" t="s">
        <v>7</v>
      </c>
      <c r="B27" s="22" t="s">
        <v>2530</v>
      </c>
      <c r="C27" s="22"/>
      <c r="D27" s="22"/>
      <c r="E27" s="22"/>
      <c r="F27" s="22"/>
      <c r="G27" s="22"/>
      <c r="H27" s="22"/>
      <c r="I27" s="22"/>
      <c r="J27" s="22"/>
      <c r="K27" s="22"/>
      <c r="L27" s="22"/>
      <c r="M27" s="328"/>
      <c r="N27" s="328"/>
      <c r="O27" s="328"/>
      <c r="P27" s="328"/>
      <c r="Q27" s="328"/>
      <c r="R27" s="328"/>
    </row>
    <row r="28" spans="1:18">
      <c r="A28" s="2"/>
      <c r="B28" s="2"/>
      <c r="C28" s="2"/>
      <c r="D28" s="2"/>
      <c r="E28" s="2"/>
      <c r="F28" s="2"/>
      <c r="G28" s="22"/>
      <c r="H28" s="22"/>
      <c r="I28" s="22"/>
      <c r="J28" s="22"/>
      <c r="K28" s="22"/>
      <c r="L28" s="22"/>
    </row>
    <row r="29" spans="1:18">
      <c r="A29" s="37"/>
      <c r="B29" s="37"/>
      <c r="C29" s="37"/>
      <c r="D29" s="37"/>
      <c r="E29" s="37"/>
      <c r="F29" s="37"/>
      <c r="G29" s="37"/>
      <c r="H29" s="37"/>
      <c r="I29" s="37"/>
      <c r="J29" s="37"/>
      <c r="K29" s="37"/>
      <c r="L29" s="37"/>
      <c r="M29" s="37"/>
    </row>
    <row r="30" spans="1:18">
      <c r="A30" s="37" t="s">
        <v>650</v>
      </c>
      <c r="B30" s="37"/>
      <c r="C30" s="37"/>
      <c r="D30" s="37"/>
      <c r="E30" s="37"/>
      <c r="F30" s="37"/>
      <c r="G30" s="37"/>
      <c r="H30" s="37"/>
      <c r="I30" s="37"/>
      <c r="J30" s="37"/>
      <c r="K30" s="37"/>
      <c r="L30" s="37"/>
      <c r="M30" s="37"/>
      <c r="N30" s="328"/>
    </row>
    <row r="31" spans="1:18">
      <c r="A31" s="37"/>
      <c r="B31" s="37"/>
      <c r="C31" s="37"/>
      <c r="D31" s="37"/>
      <c r="E31" s="37"/>
      <c r="F31" s="37"/>
      <c r="G31" s="37"/>
      <c r="H31" s="37"/>
      <c r="I31" s="37"/>
      <c r="J31" s="37"/>
      <c r="K31" s="37"/>
      <c r="L31" s="37"/>
      <c r="M31" s="37"/>
      <c r="N31" s="328"/>
    </row>
    <row r="32" spans="1:18" ht="55.8">
      <c r="A32" s="37"/>
      <c r="B32" s="172" t="s">
        <v>2529</v>
      </c>
      <c r="C32" s="1483" t="s">
        <v>2528</v>
      </c>
      <c r="D32" s="1482" t="s">
        <v>2527</v>
      </c>
      <c r="E32" s="1482" t="s">
        <v>2526</v>
      </c>
      <c r="F32" s="37"/>
      <c r="G32" s="37"/>
      <c r="H32" s="37"/>
      <c r="I32" s="37"/>
      <c r="J32" s="37"/>
      <c r="K32" s="37"/>
      <c r="L32" s="37"/>
      <c r="M32" s="37"/>
      <c r="N32" s="328"/>
    </row>
    <row r="33" spans="2:14">
      <c r="B33" s="788" t="s">
        <v>2525</v>
      </c>
      <c r="C33" s="1481">
        <f t="shared" ref="C33:C41" si="0">(C12+D12)/(1-0.27)-(C12+D12)</f>
        <v>15.338219178082191</v>
      </c>
      <c r="D33" s="1481">
        <f t="shared" ref="D33:D41" si="1">C33+C12+D12</f>
        <v>56.80821917808219</v>
      </c>
      <c r="E33" s="1480">
        <f t="shared" ref="E33:E41" si="2">D33*207500/1000</f>
        <v>11787.705479452055</v>
      </c>
      <c r="M33" s="328"/>
      <c r="N33" s="328"/>
    </row>
    <row r="34" spans="2:14">
      <c r="B34" s="788" t="s">
        <v>2524</v>
      </c>
      <c r="C34" s="1481">
        <f t="shared" si="0"/>
        <v>6.1471232876712349</v>
      </c>
      <c r="D34" s="1481">
        <f t="shared" si="1"/>
        <v>22.767123287671232</v>
      </c>
      <c r="E34" s="1480">
        <f t="shared" si="2"/>
        <v>4724.178082191781</v>
      </c>
      <c r="M34" s="328"/>
      <c r="N34" s="328"/>
    </row>
    <row r="35" spans="2:14">
      <c r="B35" s="788" t="s">
        <v>2523</v>
      </c>
      <c r="C35" s="1481">
        <f t="shared" si="0"/>
        <v>5.8327397260273983</v>
      </c>
      <c r="D35" s="1481">
        <f t="shared" si="1"/>
        <v>21.602739726027398</v>
      </c>
      <c r="E35" s="1480">
        <f t="shared" si="2"/>
        <v>4482.5684931506848</v>
      </c>
      <c r="M35" s="328"/>
      <c r="N35" s="328"/>
    </row>
    <row r="36" spans="2:14">
      <c r="B36" s="788" t="s">
        <v>2522</v>
      </c>
      <c r="C36" s="1481">
        <f t="shared" si="0"/>
        <v>8.4365753424657548</v>
      </c>
      <c r="D36" s="1481">
        <f t="shared" si="1"/>
        <v>31.246575342465754</v>
      </c>
      <c r="E36" s="1480">
        <f t="shared" si="2"/>
        <v>6483.6643835616442</v>
      </c>
      <c r="M36" s="328"/>
      <c r="N36" s="328"/>
    </row>
    <row r="37" spans="2:14">
      <c r="B37" s="788" t="s">
        <v>2521</v>
      </c>
      <c r="C37" s="1481">
        <f t="shared" si="0"/>
        <v>0.83589041095890426</v>
      </c>
      <c r="D37" s="1481">
        <f t="shared" si="1"/>
        <v>3.095890410958904</v>
      </c>
      <c r="E37" s="1480">
        <f t="shared" si="2"/>
        <v>642.39726027397262</v>
      </c>
      <c r="M37" s="328"/>
      <c r="N37" s="328"/>
    </row>
    <row r="38" spans="2:14">
      <c r="B38" s="788" t="s">
        <v>2520</v>
      </c>
      <c r="C38" s="1481">
        <f t="shared" si="0"/>
        <v>0.39945205479452062</v>
      </c>
      <c r="D38" s="1481">
        <f t="shared" si="1"/>
        <v>1.4794520547945207</v>
      </c>
      <c r="E38" s="1480">
        <f t="shared" si="2"/>
        <v>306.98630136986304</v>
      </c>
      <c r="M38" s="328"/>
      <c r="N38" s="328"/>
    </row>
    <row r="39" spans="2:14">
      <c r="B39" s="788" t="s">
        <v>2519</v>
      </c>
      <c r="C39" s="1481">
        <f t="shared" si="0"/>
        <v>2.1156164383561649</v>
      </c>
      <c r="D39" s="1481">
        <f t="shared" si="1"/>
        <v>7.8356164383561655</v>
      </c>
      <c r="E39" s="1480">
        <f t="shared" si="2"/>
        <v>1625.8904109589043</v>
      </c>
      <c r="M39" s="328"/>
      <c r="N39" s="328"/>
    </row>
    <row r="40" spans="2:14">
      <c r="B40" s="788" t="s">
        <v>2518</v>
      </c>
      <c r="C40" s="1481">
        <f t="shared" si="0"/>
        <v>0.27369863013698637</v>
      </c>
      <c r="D40" s="1481">
        <f t="shared" si="1"/>
        <v>1.0136986301369864</v>
      </c>
      <c r="E40" s="1480">
        <f t="shared" si="2"/>
        <v>210.34246575342468</v>
      </c>
      <c r="M40" s="328"/>
      <c r="N40" s="328"/>
    </row>
    <row r="41" spans="2:14">
      <c r="B41" s="788" t="s">
        <v>2517</v>
      </c>
      <c r="C41" s="1481">
        <f t="shared" si="0"/>
        <v>1.9306849315068497</v>
      </c>
      <c r="D41" s="1481">
        <f t="shared" si="1"/>
        <v>7.1506849315068504</v>
      </c>
      <c r="E41" s="1480">
        <f t="shared" si="2"/>
        <v>1483.7671232876714</v>
      </c>
      <c r="M41" s="328"/>
      <c r="N41" s="328"/>
    </row>
  </sheetData>
  <pageMargins left="0.7" right="0.7" top="0.75" bottom="0.75" header="0.3" footer="0.3"/>
  <pageSetup scale="95" orientation="portrait"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B1F7-6BB2-45F5-A9DB-42E7A4038B6A}">
  <dimension ref="A1:R85"/>
  <sheetViews>
    <sheetView zoomScaleNormal="100" workbookViewId="0"/>
  </sheetViews>
  <sheetFormatPr defaultColWidth="8.88671875" defaultRowHeight="15.6"/>
  <cols>
    <col min="1" max="1" width="8.88671875" style="1" customWidth="1"/>
    <col min="2" max="3" width="12.6640625" style="1" customWidth="1"/>
    <col min="4" max="6" width="14.6640625" style="1" customWidth="1"/>
    <col min="7" max="7" width="8.88671875" style="1"/>
    <col min="8" max="8" width="8.88671875" style="1" customWidth="1"/>
    <col min="9" max="14" width="8.88671875" style="1"/>
    <col min="15" max="15" width="12.109375" style="1" bestFit="1" customWidth="1"/>
    <col min="16" max="16" width="12.88671875" style="1" customWidth="1"/>
    <col min="17" max="17" width="13.77734375" style="1" customWidth="1"/>
    <col min="18" max="16384" width="8.88671875" style="1"/>
  </cols>
  <sheetData>
    <row r="1" spans="1:17" ht="17.399999999999999">
      <c r="A1" s="23" t="s">
        <v>2579</v>
      </c>
      <c r="B1" s="22"/>
      <c r="C1" s="22" t="s">
        <v>668</v>
      </c>
      <c r="D1" s="22"/>
      <c r="E1" s="22"/>
      <c r="F1" s="22"/>
      <c r="G1" s="22"/>
      <c r="H1" s="22"/>
      <c r="I1" s="22"/>
      <c r="J1" s="22"/>
      <c r="K1" s="22"/>
      <c r="L1" s="2"/>
    </row>
    <row r="2" spans="1:17">
      <c r="A2" s="22"/>
      <c r="B2" s="22"/>
      <c r="C2" s="22"/>
      <c r="D2" s="22"/>
      <c r="E2" s="22"/>
      <c r="F2" s="22"/>
      <c r="G2" s="22"/>
      <c r="H2" s="22"/>
      <c r="I2" s="22"/>
      <c r="J2" s="22"/>
      <c r="K2" s="22"/>
      <c r="L2" s="2"/>
    </row>
    <row r="3" spans="1:17">
      <c r="A3" s="1724" t="s">
        <v>2578</v>
      </c>
      <c r="B3" s="1724"/>
      <c r="C3" s="1724"/>
      <c r="D3" s="1724"/>
      <c r="E3" s="1724"/>
      <c r="F3" s="1724"/>
      <c r="G3" s="1724"/>
      <c r="H3" s="1724"/>
      <c r="I3" s="1724"/>
      <c r="J3" s="1724"/>
      <c r="K3" s="1724"/>
      <c r="L3" s="2"/>
    </row>
    <row r="4" spans="1:17">
      <c r="A4" s="1724"/>
      <c r="B4" s="1724"/>
      <c r="C4" s="1724"/>
      <c r="D4" s="1724"/>
      <c r="E4" s="1724"/>
      <c r="F4" s="1724"/>
      <c r="G4" s="1724"/>
      <c r="H4" s="1724"/>
      <c r="I4" s="1724"/>
      <c r="J4" s="1724"/>
      <c r="K4" s="1724"/>
      <c r="L4" s="22"/>
    </row>
    <row r="5" spans="1:17">
      <c r="A5" s="593"/>
      <c r="B5" s="22"/>
      <c r="C5" s="22"/>
      <c r="D5" s="22"/>
      <c r="E5" s="22"/>
      <c r="F5" s="22"/>
      <c r="G5" s="22"/>
      <c r="H5" s="22"/>
      <c r="I5" s="22"/>
      <c r="J5" s="22"/>
      <c r="K5" s="22"/>
      <c r="L5" s="22"/>
    </row>
    <row r="6" spans="1:17">
      <c r="A6" s="593" t="s">
        <v>2577</v>
      </c>
      <c r="B6" s="22"/>
      <c r="C6" s="22"/>
      <c r="D6" s="22"/>
      <c r="E6" s="22"/>
      <c r="F6" s="22"/>
      <c r="G6" s="22"/>
      <c r="H6" s="22"/>
      <c r="I6" s="22"/>
      <c r="J6" s="22"/>
      <c r="K6" s="22"/>
      <c r="L6" s="22"/>
    </row>
    <row r="7" spans="1:17">
      <c r="A7" s="593"/>
      <c r="B7" s="22"/>
      <c r="C7" s="22"/>
      <c r="D7" s="22"/>
      <c r="E7" s="22"/>
      <c r="F7" s="22"/>
      <c r="G7" s="22"/>
      <c r="H7" s="22"/>
      <c r="I7" s="22"/>
      <c r="J7" s="22"/>
      <c r="K7" s="22"/>
      <c r="L7" s="22"/>
    </row>
    <row r="8" spans="1:17">
      <c r="A8" s="593" t="s">
        <v>2576</v>
      </c>
      <c r="B8" s="22"/>
      <c r="C8" s="22"/>
      <c r="D8" s="22"/>
      <c r="E8" s="22"/>
      <c r="F8" s="22"/>
      <c r="G8" s="22"/>
      <c r="H8" s="22"/>
      <c r="I8" s="22"/>
      <c r="J8" s="22"/>
      <c r="K8" s="22"/>
      <c r="L8" s="22"/>
    </row>
    <row r="9" spans="1:17">
      <c r="A9" s="22" t="s">
        <v>2575</v>
      </c>
      <c r="B9" s="22"/>
      <c r="C9" s="22"/>
      <c r="D9" s="22"/>
      <c r="E9" s="22"/>
      <c r="F9" s="22"/>
      <c r="G9" s="22"/>
      <c r="H9" s="22"/>
      <c r="I9" s="22"/>
      <c r="J9" s="22"/>
      <c r="K9" s="22"/>
      <c r="L9" s="22"/>
    </row>
    <row r="10" spans="1:17">
      <c r="A10" s="22"/>
      <c r="B10" s="22"/>
      <c r="C10" s="22"/>
      <c r="D10" s="22"/>
      <c r="E10" s="22"/>
      <c r="F10" s="22"/>
      <c r="G10" s="22"/>
      <c r="H10" s="22"/>
      <c r="I10" s="22"/>
      <c r="J10" s="22"/>
      <c r="K10" s="22"/>
      <c r="L10" s="22"/>
    </row>
    <row r="11" spans="1:17">
      <c r="A11" s="593" t="s">
        <v>2574</v>
      </c>
      <c r="B11" s="22"/>
      <c r="C11" s="22"/>
      <c r="D11" s="22"/>
      <c r="E11" s="22"/>
      <c r="F11" s="22"/>
      <c r="G11" s="22"/>
      <c r="H11" s="22"/>
      <c r="I11" s="22"/>
      <c r="J11" s="22"/>
      <c r="K11" s="22"/>
      <c r="L11" s="22"/>
    </row>
    <row r="12" spans="1:17">
      <c r="A12" s="22"/>
      <c r="B12" s="22"/>
      <c r="C12" s="22"/>
      <c r="D12" s="22"/>
      <c r="E12" s="22"/>
      <c r="F12" s="22"/>
      <c r="G12" s="22"/>
      <c r="H12" s="22"/>
      <c r="I12" s="22"/>
      <c r="J12" s="22"/>
      <c r="K12" s="22"/>
      <c r="L12" s="22"/>
    </row>
    <row r="13" spans="1:17">
      <c r="A13" s="22"/>
      <c r="B13" s="1946" t="s">
        <v>2573</v>
      </c>
      <c r="C13" s="1848" t="s">
        <v>2572</v>
      </c>
      <c r="D13" s="1848" t="s">
        <v>2571</v>
      </c>
      <c r="E13" s="1848"/>
      <c r="F13" s="1848"/>
      <c r="G13" s="22"/>
      <c r="H13" s="22"/>
      <c r="I13" s="22"/>
      <c r="J13" s="22"/>
      <c r="K13" s="22"/>
      <c r="L13" s="22"/>
    </row>
    <row r="14" spans="1:17" ht="31.2">
      <c r="A14" s="22"/>
      <c r="B14" s="1946"/>
      <c r="C14" s="1848"/>
      <c r="D14" s="332" t="s">
        <v>2566</v>
      </c>
      <c r="E14" s="332" t="s">
        <v>2565</v>
      </c>
      <c r="F14" s="332" t="s">
        <v>2564</v>
      </c>
      <c r="G14" s="22"/>
      <c r="H14" s="22"/>
      <c r="I14" s="22"/>
      <c r="J14" s="22"/>
      <c r="K14" s="22"/>
      <c r="L14" s="22"/>
    </row>
    <row r="15" spans="1:17">
      <c r="A15" s="22"/>
      <c r="B15" s="1947" t="s">
        <v>2570</v>
      </c>
      <c r="C15" s="628">
        <v>100</v>
      </c>
      <c r="D15" s="526">
        <v>780971</v>
      </c>
      <c r="E15" s="526">
        <v>120066</v>
      </c>
      <c r="F15" s="526">
        <v>830644</v>
      </c>
      <c r="G15" s="22"/>
      <c r="H15" s="22"/>
      <c r="I15" s="22"/>
      <c r="J15" s="22"/>
      <c r="K15" s="22"/>
      <c r="L15" s="22"/>
    </row>
    <row r="16" spans="1:17">
      <c r="A16" s="22"/>
      <c r="B16" s="1947"/>
      <c r="C16" s="628">
        <v>250</v>
      </c>
      <c r="D16" s="526">
        <v>1242287</v>
      </c>
      <c r="E16" s="526">
        <v>250762</v>
      </c>
      <c r="F16" s="526">
        <v>1362121</v>
      </c>
      <c r="G16" s="22"/>
      <c r="H16" s="22"/>
      <c r="I16" s="22"/>
      <c r="J16" s="22"/>
      <c r="K16" s="22"/>
      <c r="L16" s="22"/>
      <c r="O16" s="474"/>
      <c r="P16" s="474"/>
      <c r="Q16" s="474"/>
    </row>
    <row r="17" spans="1:18">
      <c r="A17" s="22"/>
      <c r="B17" s="1947"/>
      <c r="C17" s="628">
        <v>500</v>
      </c>
      <c r="D17" s="526">
        <v>1801316</v>
      </c>
      <c r="E17" s="526">
        <v>388680</v>
      </c>
      <c r="F17" s="526">
        <v>2006473</v>
      </c>
      <c r="G17" s="22"/>
      <c r="H17" s="22"/>
      <c r="I17" s="22"/>
      <c r="J17" s="22"/>
      <c r="K17" s="22"/>
      <c r="L17" s="22"/>
      <c r="O17" s="474"/>
      <c r="P17" s="474"/>
      <c r="Q17" s="474"/>
    </row>
    <row r="18" spans="1:18">
      <c r="A18" s="22"/>
      <c r="B18" s="1947" t="s">
        <v>680</v>
      </c>
      <c r="C18" s="628">
        <v>100</v>
      </c>
      <c r="D18" s="526">
        <v>624777</v>
      </c>
      <c r="E18" s="526">
        <v>96053</v>
      </c>
      <c r="F18" s="526">
        <v>664515</v>
      </c>
      <c r="G18" s="22"/>
      <c r="H18" s="22"/>
      <c r="I18" s="22"/>
      <c r="J18" s="22"/>
      <c r="K18" s="22"/>
      <c r="L18" s="22"/>
    </row>
    <row r="19" spans="1:18">
      <c r="A19" s="22"/>
      <c r="B19" s="1947"/>
      <c r="C19" s="628">
        <v>200</v>
      </c>
      <c r="D19" s="526">
        <v>993830</v>
      </c>
      <c r="E19" s="526">
        <v>200609</v>
      </c>
      <c r="F19" s="526">
        <v>1089697</v>
      </c>
      <c r="G19" s="22"/>
      <c r="H19" s="22"/>
      <c r="I19" s="22"/>
      <c r="J19" s="22"/>
      <c r="K19" s="22"/>
      <c r="L19" s="22"/>
      <c r="O19" s="474"/>
      <c r="P19" s="474"/>
      <c r="Q19" s="474"/>
    </row>
    <row r="20" spans="1:18">
      <c r="A20" s="22"/>
      <c r="B20" s="1947"/>
      <c r="C20" s="628">
        <v>500</v>
      </c>
      <c r="D20" s="526">
        <v>1441053</v>
      </c>
      <c r="E20" s="526">
        <v>310944</v>
      </c>
      <c r="F20" s="526">
        <v>1605179</v>
      </c>
      <c r="G20" s="22"/>
      <c r="H20" s="22"/>
      <c r="I20" s="22"/>
      <c r="J20" s="22"/>
      <c r="K20" s="22"/>
      <c r="L20" s="22"/>
      <c r="O20" s="474"/>
      <c r="P20" s="474"/>
      <c r="Q20" s="474"/>
    </row>
    <row r="21" spans="1:18">
      <c r="A21" s="22"/>
      <c r="B21" s="22"/>
      <c r="C21" s="22"/>
      <c r="D21" s="22"/>
      <c r="E21" s="22"/>
      <c r="F21" s="22"/>
      <c r="G21" s="22"/>
      <c r="H21" s="22"/>
      <c r="I21" s="22"/>
      <c r="J21" s="22"/>
      <c r="K21" s="22"/>
      <c r="L21" s="22"/>
    </row>
    <row r="22" spans="1:18">
      <c r="A22" s="22"/>
      <c r="B22" s="1694" t="s">
        <v>2569</v>
      </c>
      <c r="C22" s="1848" t="s">
        <v>2568</v>
      </c>
      <c r="D22" s="1848" t="s">
        <v>2567</v>
      </c>
      <c r="E22" s="1848"/>
      <c r="F22" s="1848"/>
      <c r="G22" s="22"/>
      <c r="H22" s="22"/>
      <c r="I22" s="22"/>
      <c r="J22" s="22"/>
      <c r="K22" s="22"/>
      <c r="L22" s="22"/>
    </row>
    <row r="23" spans="1:18" ht="31.2">
      <c r="A23" s="22"/>
      <c r="B23" s="1695"/>
      <c r="C23" s="1848"/>
      <c r="D23" s="332" t="s">
        <v>2566</v>
      </c>
      <c r="E23" s="332" t="s">
        <v>2565</v>
      </c>
      <c r="F23" s="332" t="s">
        <v>2564</v>
      </c>
      <c r="G23" s="22"/>
      <c r="H23" s="22"/>
      <c r="I23" s="22"/>
      <c r="J23" s="22"/>
      <c r="K23" s="22"/>
      <c r="L23" s="22"/>
    </row>
    <row r="24" spans="1:18">
      <c r="A24" s="22"/>
      <c r="B24" s="1851" t="s">
        <v>2563</v>
      </c>
      <c r="C24" s="628" t="s">
        <v>2543</v>
      </c>
      <c r="D24" s="628">
        <v>616</v>
      </c>
      <c r="E24" s="628">
        <v>45</v>
      </c>
      <c r="F24" s="628">
        <v>661</v>
      </c>
      <c r="G24" s="22"/>
      <c r="H24" s="22"/>
      <c r="I24" s="22"/>
      <c r="J24" s="22"/>
      <c r="K24" s="22"/>
      <c r="L24" s="22"/>
    </row>
    <row r="25" spans="1:18">
      <c r="A25" s="22"/>
      <c r="B25" s="1851"/>
      <c r="C25" s="628" t="s">
        <v>265</v>
      </c>
      <c r="D25" s="526">
        <v>6314</v>
      </c>
      <c r="E25" s="526">
        <v>1280</v>
      </c>
      <c r="F25" s="526">
        <v>6868</v>
      </c>
      <c r="G25" s="22"/>
      <c r="H25" s="22"/>
      <c r="I25" s="22"/>
      <c r="J25" s="22"/>
      <c r="K25" s="22"/>
      <c r="L25" s="22"/>
    </row>
    <row r="26" spans="1:18">
      <c r="A26" s="22"/>
      <c r="B26" s="1851" t="s">
        <v>2562</v>
      </c>
      <c r="C26" s="628" t="s">
        <v>2543</v>
      </c>
      <c r="D26" s="628">
        <v>212</v>
      </c>
      <c r="E26" s="628">
        <v>21</v>
      </c>
      <c r="F26" s="628">
        <v>233</v>
      </c>
      <c r="G26" s="22"/>
      <c r="H26" s="22"/>
      <c r="I26" s="22"/>
      <c r="J26" s="22"/>
      <c r="K26" s="22"/>
      <c r="L26" s="22"/>
    </row>
    <row r="27" spans="1:18">
      <c r="A27" s="22"/>
      <c r="B27" s="1851"/>
      <c r="C27" s="628" t="s">
        <v>265</v>
      </c>
      <c r="D27" s="526">
        <v>3920</v>
      </c>
      <c r="E27" s="526">
        <v>1005</v>
      </c>
      <c r="F27" s="526">
        <v>4374</v>
      </c>
      <c r="G27" s="22"/>
      <c r="H27" s="22"/>
      <c r="I27" s="22"/>
      <c r="J27" s="22"/>
      <c r="K27" s="22"/>
      <c r="L27" s="22"/>
    </row>
    <row r="28" spans="1:18">
      <c r="A28" s="22"/>
      <c r="B28" s="22"/>
      <c r="C28" s="22"/>
      <c r="D28" s="22"/>
      <c r="E28" s="22"/>
      <c r="F28" s="22"/>
      <c r="G28" s="22"/>
      <c r="H28" s="22"/>
      <c r="I28" s="22"/>
      <c r="J28" s="22"/>
      <c r="K28" s="22"/>
      <c r="L28" s="22"/>
    </row>
    <row r="29" spans="1:18">
      <c r="A29" s="418"/>
      <c r="B29" s="418"/>
      <c r="C29" s="418"/>
      <c r="D29" s="418"/>
      <c r="E29" s="418"/>
      <c r="F29" s="418"/>
      <c r="G29" s="418"/>
      <c r="H29" s="418"/>
      <c r="I29" s="418"/>
      <c r="J29" s="418"/>
      <c r="K29" s="418"/>
      <c r="L29" s="418"/>
    </row>
    <row r="30" spans="1:18">
      <c r="A30" s="577" t="s">
        <v>80</v>
      </c>
      <c r="B30" s="22" t="s">
        <v>2561</v>
      </c>
      <c r="C30" s="22"/>
      <c r="D30" s="22"/>
      <c r="E30" s="22"/>
      <c r="F30" s="22"/>
      <c r="G30" s="22"/>
      <c r="H30" s="22"/>
      <c r="I30" s="22"/>
      <c r="J30" s="22"/>
      <c r="K30" s="22"/>
      <c r="L30" s="22"/>
      <c r="M30" s="328"/>
      <c r="N30" s="328"/>
      <c r="O30" s="328"/>
      <c r="P30" s="328"/>
      <c r="Q30" s="328"/>
      <c r="R30" s="328"/>
    </row>
    <row r="31" spans="1:18">
      <c r="A31" s="2"/>
      <c r="B31" s="2"/>
      <c r="C31" s="2"/>
      <c r="D31" s="2"/>
      <c r="E31" s="2"/>
      <c r="F31" s="2"/>
      <c r="G31" s="22"/>
      <c r="H31" s="22"/>
      <c r="I31" s="22"/>
      <c r="J31" s="22"/>
      <c r="K31" s="22"/>
      <c r="L31" s="22"/>
    </row>
    <row r="32" spans="1:18">
      <c r="A32" s="37"/>
      <c r="B32" s="37"/>
      <c r="C32" s="37"/>
      <c r="D32" s="37"/>
      <c r="E32" s="37"/>
      <c r="F32" s="37"/>
      <c r="G32" s="37"/>
      <c r="H32" s="37"/>
      <c r="I32" s="37"/>
      <c r="J32" s="37"/>
      <c r="K32" s="37"/>
      <c r="L32" s="37"/>
      <c r="M32" s="37"/>
    </row>
    <row r="33" spans="1:14">
      <c r="A33" s="37" t="s">
        <v>650</v>
      </c>
      <c r="B33" s="37"/>
      <c r="C33" s="37"/>
      <c r="D33" s="37"/>
      <c r="E33" s="37"/>
      <c r="F33" s="37"/>
      <c r="G33" s="37"/>
      <c r="H33" s="37"/>
      <c r="I33" s="37"/>
      <c r="J33" s="37"/>
      <c r="K33" s="37"/>
      <c r="L33" s="37"/>
      <c r="M33" s="37"/>
      <c r="N33" s="328"/>
    </row>
    <row r="34" spans="1:14">
      <c r="A34" s="37"/>
      <c r="B34" s="1485">
        <f>1/100</f>
        <v>0.01</v>
      </c>
      <c r="C34" s="37" t="s">
        <v>2560</v>
      </c>
      <c r="D34" s="37"/>
      <c r="E34" s="37"/>
      <c r="F34" s="37"/>
      <c r="G34" s="37"/>
      <c r="H34" s="37"/>
      <c r="I34" s="37"/>
      <c r="J34" s="37"/>
      <c r="K34" s="37"/>
      <c r="L34" s="37"/>
      <c r="M34" s="37"/>
      <c r="N34" s="328"/>
    </row>
    <row r="35" spans="1:14">
      <c r="A35" s="37"/>
      <c r="B35" s="37"/>
      <c r="C35" s="37"/>
      <c r="D35" s="37"/>
      <c r="E35" s="37"/>
      <c r="F35" s="37"/>
      <c r="G35" s="37"/>
      <c r="H35" s="37"/>
      <c r="I35" s="37"/>
      <c r="J35" s="37"/>
      <c r="K35" s="37"/>
      <c r="L35" s="37"/>
      <c r="M35" s="37"/>
      <c r="N35" s="328"/>
    </row>
    <row r="36" spans="1:14">
      <c r="B36" s="645">
        <f>1/250</f>
        <v>4.0000000000000001E-3</v>
      </c>
      <c r="C36" s="1" t="s">
        <v>2559</v>
      </c>
      <c r="M36" s="328"/>
      <c r="N36" s="328"/>
    </row>
    <row r="37" spans="1:14">
      <c r="M37" s="328"/>
      <c r="N37" s="328"/>
    </row>
    <row r="38" spans="1:14">
      <c r="A38" s="22" t="s">
        <v>2558</v>
      </c>
      <c r="B38" s="22"/>
      <c r="C38" s="22"/>
      <c r="D38" s="22"/>
      <c r="E38" s="22"/>
      <c r="F38" s="22"/>
      <c r="G38" s="22"/>
      <c r="H38" s="22"/>
      <c r="I38" s="22"/>
      <c r="J38" s="22"/>
      <c r="K38" s="22"/>
      <c r="L38" s="22"/>
      <c r="M38" s="328"/>
      <c r="N38" s="328"/>
    </row>
    <row r="39" spans="1:14">
      <c r="A39" s="22"/>
      <c r="B39" s="22"/>
      <c r="C39" s="22"/>
      <c r="D39" s="22"/>
      <c r="E39" s="22"/>
      <c r="F39" s="22"/>
      <c r="G39" s="22"/>
      <c r="H39" s="22"/>
      <c r="I39" s="22"/>
      <c r="J39" s="22"/>
      <c r="K39" s="22"/>
      <c r="L39" s="22"/>
      <c r="M39" s="328"/>
      <c r="N39" s="328"/>
    </row>
    <row r="40" spans="1:14">
      <c r="A40" s="1484" t="s">
        <v>2557</v>
      </c>
      <c r="B40" s="661"/>
      <c r="C40" s="620"/>
      <c r="D40" s="331">
        <v>1098085000</v>
      </c>
      <c r="E40" s="22"/>
      <c r="F40" s="22"/>
      <c r="G40" s="22"/>
      <c r="H40" s="22"/>
      <c r="I40" s="22"/>
      <c r="J40" s="22"/>
      <c r="K40" s="22"/>
      <c r="L40" s="22"/>
      <c r="M40" s="328"/>
      <c r="N40" s="328"/>
    </row>
    <row r="41" spans="1:14">
      <c r="A41" s="1484" t="s">
        <v>2556</v>
      </c>
      <c r="B41" s="661"/>
      <c r="C41" s="620"/>
      <c r="D41" s="331">
        <v>132325000</v>
      </c>
      <c r="E41" s="22"/>
      <c r="F41" s="22"/>
      <c r="G41" s="22"/>
      <c r="H41" s="22"/>
      <c r="I41" s="22"/>
      <c r="J41" s="22"/>
      <c r="K41" s="22"/>
      <c r="L41" s="22"/>
      <c r="M41" s="328"/>
      <c r="N41" s="328"/>
    </row>
    <row r="42" spans="1:14">
      <c r="A42" s="22"/>
      <c r="B42" s="22"/>
      <c r="C42" s="22"/>
      <c r="D42" s="22"/>
      <c r="E42" s="22"/>
      <c r="F42" s="22"/>
      <c r="G42" s="22"/>
      <c r="H42" s="22"/>
      <c r="I42" s="22"/>
      <c r="J42" s="22"/>
      <c r="K42" s="22"/>
      <c r="L42" s="22"/>
      <c r="M42" s="328"/>
      <c r="N42" s="328"/>
    </row>
    <row r="43" spans="1:14">
      <c r="A43" s="2"/>
      <c r="B43" s="2"/>
      <c r="C43" s="2"/>
      <c r="D43" s="2"/>
      <c r="E43" s="2"/>
      <c r="F43" s="2"/>
      <c r="G43" s="2"/>
      <c r="H43" s="2"/>
      <c r="I43" s="2"/>
      <c r="J43" s="2"/>
      <c r="K43" s="2"/>
      <c r="L43" s="2"/>
    </row>
    <row r="44" spans="1:14">
      <c r="A44" s="577" t="s">
        <v>9</v>
      </c>
      <c r="B44" s="22" t="s">
        <v>2555</v>
      </c>
      <c r="C44" s="22"/>
      <c r="D44" s="22"/>
      <c r="E44" s="22"/>
      <c r="F44" s="22"/>
      <c r="G44" s="22"/>
      <c r="H44" s="22"/>
      <c r="I44" s="22"/>
      <c r="J44" s="22"/>
      <c r="K44" s="22"/>
      <c r="L44" s="22"/>
    </row>
    <row r="45" spans="1:14">
      <c r="A45" s="2"/>
      <c r="B45" s="2"/>
      <c r="C45" s="2"/>
      <c r="D45" s="2"/>
      <c r="E45" s="2"/>
      <c r="F45" s="2"/>
      <c r="G45" s="22"/>
      <c r="H45" s="22"/>
      <c r="I45" s="22"/>
      <c r="J45" s="22"/>
      <c r="K45" s="22"/>
      <c r="L45" s="22"/>
    </row>
    <row r="46" spans="1:14">
      <c r="A46" s="37"/>
      <c r="B46" s="37"/>
      <c r="C46" s="37"/>
      <c r="D46" s="37"/>
      <c r="E46" s="37"/>
      <c r="F46" s="37"/>
      <c r="G46" s="37"/>
      <c r="H46" s="37"/>
      <c r="I46" s="37"/>
      <c r="J46" s="37"/>
      <c r="K46" s="37"/>
      <c r="L46" s="37"/>
    </row>
    <row r="47" spans="1:14">
      <c r="A47" s="37" t="s">
        <v>650</v>
      </c>
      <c r="B47" s="37"/>
      <c r="C47" s="37"/>
      <c r="D47" s="37"/>
      <c r="E47" s="37"/>
      <c r="F47" s="37"/>
      <c r="G47" s="37"/>
      <c r="H47" s="37"/>
      <c r="I47" s="37"/>
      <c r="J47" s="37"/>
      <c r="K47" s="37"/>
      <c r="L47" s="37"/>
    </row>
    <row r="48" spans="1:14">
      <c r="A48" s="37"/>
      <c r="C48" s="37" t="s">
        <v>2546</v>
      </c>
      <c r="E48" s="37"/>
      <c r="F48" s="37"/>
      <c r="H48" s="474"/>
      <c r="I48" s="37"/>
      <c r="J48" s="37"/>
      <c r="K48" s="37"/>
      <c r="L48" s="37"/>
    </row>
    <row r="49" spans="1:13">
      <c r="B49" s="1" t="s">
        <v>2554</v>
      </c>
      <c r="D49" s="474">
        <f>F18</f>
        <v>664515</v>
      </c>
      <c r="E49" s="277" t="s">
        <v>2459</v>
      </c>
      <c r="F49" s="474">
        <f>F19</f>
        <v>1089697</v>
      </c>
      <c r="M49" s="37"/>
    </row>
    <row r="50" spans="1:13">
      <c r="B50" s="1" t="s">
        <v>2553</v>
      </c>
      <c r="D50" s="474">
        <f>F49</f>
        <v>1089697</v>
      </c>
      <c r="E50" s="277" t="s">
        <v>2552</v>
      </c>
      <c r="F50" s="474">
        <f>F20</f>
        <v>1605179</v>
      </c>
      <c r="G50" s="277"/>
      <c r="H50" s="474"/>
      <c r="M50" s="37"/>
    </row>
    <row r="51" spans="1:13">
      <c r="M51" s="37"/>
    </row>
    <row r="52" spans="1:13">
      <c r="B52" s="1" t="s">
        <v>2551</v>
      </c>
      <c r="D52" s="474">
        <f>(D40+D41)/1000</f>
        <v>1230410</v>
      </c>
      <c r="E52" s="277"/>
      <c r="F52" s="474"/>
    </row>
    <row r="54" spans="1:13">
      <c r="B54" s="1" t="s">
        <v>2550</v>
      </c>
      <c r="D54" s="474">
        <f>MAX(0,MIN($D$52,F49)-D49)</f>
        <v>425182</v>
      </c>
    </row>
    <row r="55" spans="1:13">
      <c r="B55" s="1" t="s">
        <v>2549</v>
      </c>
      <c r="D55" s="474">
        <f>MAX(0,MIN($D$52,F50)-D50)</f>
        <v>140713</v>
      </c>
    </row>
    <row r="57" spans="1:13">
      <c r="A57" s="22" t="s">
        <v>2548</v>
      </c>
      <c r="B57" s="22"/>
      <c r="C57" s="22"/>
      <c r="D57" s="22"/>
      <c r="E57" s="22"/>
      <c r="F57" s="22"/>
      <c r="G57" s="22"/>
      <c r="H57" s="22"/>
      <c r="I57" s="22"/>
      <c r="J57" s="22"/>
      <c r="K57" s="22"/>
      <c r="L57" s="22"/>
    </row>
    <row r="58" spans="1:13">
      <c r="A58" s="22"/>
      <c r="B58" s="22"/>
      <c r="C58" s="22"/>
      <c r="D58" s="22"/>
      <c r="E58" s="22"/>
      <c r="F58" s="22"/>
      <c r="G58" s="22"/>
      <c r="H58" s="22"/>
      <c r="I58" s="22"/>
      <c r="J58" s="22"/>
      <c r="K58" s="22"/>
      <c r="L58" s="22"/>
    </row>
    <row r="59" spans="1:13">
      <c r="A59" s="2"/>
      <c r="B59" s="2"/>
      <c r="C59" s="2"/>
      <c r="D59" s="2"/>
      <c r="E59" s="2"/>
      <c r="F59" s="2"/>
      <c r="G59" s="2"/>
      <c r="H59" s="2"/>
      <c r="I59" s="2"/>
      <c r="J59" s="2"/>
      <c r="K59" s="2"/>
      <c r="L59" s="2"/>
    </row>
    <row r="60" spans="1:13">
      <c r="A60" s="577" t="s">
        <v>7</v>
      </c>
      <c r="B60" s="22" t="s">
        <v>2547</v>
      </c>
      <c r="C60" s="22"/>
      <c r="D60" s="22"/>
      <c r="E60" s="22"/>
      <c r="F60" s="22"/>
      <c r="G60" s="22"/>
      <c r="H60" s="22"/>
      <c r="I60" s="22"/>
      <c r="J60" s="22"/>
      <c r="K60" s="22"/>
      <c r="L60" s="22"/>
    </row>
    <row r="61" spans="1:13">
      <c r="A61" s="2"/>
      <c r="B61" s="2"/>
      <c r="C61" s="2"/>
      <c r="D61" s="2"/>
      <c r="E61" s="2"/>
      <c r="F61" s="2"/>
      <c r="G61" s="22"/>
      <c r="H61" s="22"/>
      <c r="I61" s="22"/>
      <c r="J61" s="22"/>
      <c r="K61" s="22"/>
      <c r="L61" s="22"/>
    </row>
    <row r="62" spans="1:13">
      <c r="A62" s="37"/>
      <c r="B62" s="37"/>
      <c r="C62" s="37"/>
      <c r="D62" s="37"/>
      <c r="E62" s="37"/>
      <c r="F62" s="37"/>
      <c r="G62" s="37"/>
      <c r="H62" s="37"/>
      <c r="I62" s="37"/>
      <c r="J62" s="37"/>
      <c r="K62" s="37"/>
      <c r="L62" s="37"/>
    </row>
    <row r="63" spans="1:13">
      <c r="A63" s="37" t="s">
        <v>650</v>
      </c>
      <c r="B63" s="37"/>
      <c r="C63" s="37"/>
      <c r="D63" s="37"/>
      <c r="E63" s="37"/>
      <c r="F63" s="37"/>
      <c r="G63" s="37"/>
      <c r="H63" s="37"/>
      <c r="I63" s="37"/>
      <c r="J63" s="37"/>
      <c r="K63" s="37"/>
      <c r="L63" s="37"/>
    </row>
    <row r="64" spans="1:13">
      <c r="B64" s="37"/>
      <c r="C64" s="37" t="s">
        <v>2546</v>
      </c>
      <c r="D64" s="37"/>
    </row>
    <row r="65" spans="1:14">
      <c r="B65" s="37"/>
      <c r="C65" s="37"/>
      <c r="D65" s="37"/>
    </row>
    <row r="66" spans="1:14">
      <c r="C66" s="37" t="s">
        <v>2545</v>
      </c>
      <c r="D66" s="37" t="s">
        <v>2544</v>
      </c>
      <c r="M66" s="37"/>
      <c r="N66" s="37"/>
    </row>
    <row r="67" spans="1:14">
      <c r="B67" s="1" t="s">
        <v>2543</v>
      </c>
      <c r="C67" s="474">
        <f>F24</f>
        <v>661</v>
      </c>
      <c r="D67" s="474">
        <f>F26</f>
        <v>233</v>
      </c>
      <c r="M67" s="37"/>
      <c r="N67" s="37"/>
    </row>
    <row r="68" spans="1:14">
      <c r="B68" s="1" t="s">
        <v>2542</v>
      </c>
      <c r="C68" s="474">
        <f>0.85*F25</f>
        <v>5837.8</v>
      </c>
      <c r="D68" s="474">
        <f>0.85*F27</f>
        <v>3717.9</v>
      </c>
      <c r="M68" s="37"/>
      <c r="N68" s="37"/>
    </row>
    <row r="69" spans="1:14">
      <c r="B69" s="1" t="s">
        <v>2541</v>
      </c>
      <c r="C69" s="474">
        <f>(SUM(C67:C68)/(1-0.24))-SUM(C67:C68)</f>
        <v>2052.2526315789464</v>
      </c>
      <c r="D69" s="474">
        <f>(SUM(D67:D68)/(1-0.24))-SUM(D67:D68)</f>
        <v>1247.6526315789474</v>
      </c>
    </row>
    <row r="70" spans="1:14">
      <c r="B70" s="1" t="s">
        <v>2540</v>
      </c>
      <c r="C70" s="474">
        <f>SUM(C67:C69)</f>
        <v>8551.0526315789466</v>
      </c>
      <c r="D70" s="474">
        <f>SUM(D67:D69)</f>
        <v>5198.5526315789475</v>
      </c>
    </row>
    <row r="72" spans="1:14">
      <c r="A72" s="1706" t="s">
        <v>2539</v>
      </c>
      <c r="B72" s="1706"/>
      <c r="C72" s="1706"/>
      <c r="D72" s="1706"/>
      <c r="E72" s="1706"/>
      <c r="F72" s="1706"/>
      <c r="G72" s="1706"/>
      <c r="H72" s="1706"/>
      <c r="I72" s="1706"/>
      <c r="J72" s="1706"/>
      <c r="K72" s="1706"/>
      <c r="L72" s="22"/>
    </row>
    <row r="73" spans="1:14">
      <c r="A73" s="1706"/>
      <c r="B73" s="1706"/>
      <c r="C73" s="1706"/>
      <c r="D73" s="1706"/>
      <c r="E73" s="1706"/>
      <c r="F73" s="1706"/>
      <c r="G73" s="1706"/>
      <c r="H73" s="1706"/>
      <c r="I73" s="1706"/>
      <c r="J73" s="1706"/>
      <c r="K73" s="1706"/>
      <c r="L73" s="22"/>
    </row>
    <row r="74" spans="1:14">
      <c r="A74" s="1706"/>
      <c r="B74" s="1706"/>
      <c r="C74" s="1706"/>
      <c r="D74" s="1706"/>
      <c r="E74" s="1706"/>
      <c r="F74" s="1706"/>
      <c r="G74" s="1706"/>
      <c r="H74" s="1706"/>
      <c r="I74" s="1706"/>
      <c r="J74" s="1706"/>
      <c r="K74" s="1706"/>
      <c r="L74" s="22"/>
    </row>
    <row r="75" spans="1:14">
      <c r="A75" s="1706"/>
      <c r="B75" s="1706"/>
      <c r="C75" s="1706"/>
      <c r="D75" s="1706"/>
      <c r="E75" s="1706"/>
      <c r="F75" s="1706"/>
      <c r="G75" s="1706"/>
      <c r="H75" s="1706"/>
      <c r="I75" s="1706"/>
      <c r="J75" s="1706"/>
      <c r="K75" s="1706"/>
      <c r="L75" s="22"/>
    </row>
    <row r="76" spans="1:14">
      <c r="A76" s="2"/>
      <c r="B76" s="2"/>
      <c r="C76" s="2"/>
      <c r="D76" s="2"/>
      <c r="E76" s="2"/>
      <c r="F76" s="2"/>
      <c r="G76" s="2"/>
      <c r="H76" s="2"/>
      <c r="I76" s="2"/>
      <c r="J76" s="2"/>
      <c r="K76" s="2"/>
      <c r="L76" s="2"/>
    </row>
    <row r="77" spans="1:14">
      <c r="A77" s="577" t="s">
        <v>4</v>
      </c>
      <c r="B77" s="22" t="s">
        <v>2538</v>
      </c>
      <c r="C77" s="22"/>
      <c r="D77" s="22"/>
      <c r="E77" s="22"/>
      <c r="F77" s="22"/>
      <c r="G77" s="22"/>
      <c r="H77" s="22"/>
      <c r="I77" s="22"/>
      <c r="J77" s="22"/>
      <c r="K77" s="22"/>
      <c r="L77" s="22"/>
    </row>
    <row r="78" spans="1:14">
      <c r="A78" s="2"/>
      <c r="B78" s="2"/>
      <c r="C78" s="2"/>
      <c r="D78" s="2"/>
      <c r="E78" s="2"/>
      <c r="F78" s="2"/>
      <c r="G78" s="22"/>
      <c r="H78" s="22"/>
      <c r="I78" s="22"/>
      <c r="J78" s="22"/>
      <c r="K78" s="22"/>
      <c r="L78" s="22"/>
    </row>
    <row r="79" spans="1:14">
      <c r="A79" s="37"/>
      <c r="B79" s="37"/>
      <c r="C79" s="37"/>
      <c r="D79" s="37"/>
      <c r="E79" s="37"/>
      <c r="F79" s="37"/>
      <c r="G79" s="37"/>
      <c r="H79" s="37"/>
      <c r="I79" s="37"/>
      <c r="J79" s="37"/>
      <c r="K79" s="37"/>
      <c r="L79" s="37"/>
    </row>
    <row r="80" spans="1:14">
      <c r="A80" s="37" t="s">
        <v>650</v>
      </c>
      <c r="B80" s="37"/>
      <c r="C80" s="37"/>
      <c r="D80" s="37"/>
      <c r="E80" s="37"/>
      <c r="F80" s="37"/>
      <c r="G80" s="37"/>
      <c r="H80" s="37"/>
      <c r="I80" s="37"/>
      <c r="J80" s="37"/>
      <c r="K80" s="37"/>
      <c r="L80" s="37"/>
    </row>
    <row r="81" spans="1:13">
      <c r="A81" s="37"/>
      <c r="B81" s="37"/>
      <c r="C81" s="37"/>
      <c r="D81" s="37"/>
      <c r="E81" s="37"/>
      <c r="F81" s="37"/>
      <c r="G81" s="37"/>
      <c r="H81" s="37"/>
      <c r="I81" s="37"/>
      <c r="J81" s="37"/>
      <c r="K81" s="37"/>
      <c r="L81" s="37"/>
    </row>
    <row r="82" spans="1:13">
      <c r="A82" s="37"/>
      <c r="B82" s="37" t="s">
        <v>2537</v>
      </c>
      <c r="C82" s="37"/>
      <c r="D82" s="37"/>
      <c r="E82" s="37"/>
      <c r="F82" s="37"/>
      <c r="G82" s="37"/>
      <c r="H82" s="37"/>
      <c r="I82" s="37"/>
      <c r="J82" s="37"/>
      <c r="K82" s="37"/>
      <c r="L82" s="37"/>
    </row>
    <row r="84" spans="1:13">
      <c r="B84" s="1" t="s">
        <v>2536</v>
      </c>
    </row>
    <row r="85" spans="1:13">
      <c r="M85" s="37"/>
    </row>
  </sheetData>
  <mergeCells count="12">
    <mergeCell ref="B24:B25"/>
    <mergeCell ref="B26:B27"/>
    <mergeCell ref="A72:K75"/>
    <mergeCell ref="A3:K4"/>
    <mergeCell ref="B13:B14"/>
    <mergeCell ref="C13:C14"/>
    <mergeCell ref="D13:F13"/>
    <mergeCell ref="B15:B17"/>
    <mergeCell ref="B18:B20"/>
    <mergeCell ref="B22:B23"/>
    <mergeCell ref="C22:C23"/>
    <mergeCell ref="D22:F22"/>
  </mergeCells>
  <pageMargins left="0.7" right="0.7" top="0.75" bottom="0.75" header="0.3" footer="0.3"/>
  <pageSetup scale="68"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67DA0-B245-43A0-B3B2-BCC2F46BF4DF}">
  <dimension ref="A1:Z185"/>
  <sheetViews>
    <sheetView zoomScaleNormal="100" workbookViewId="0"/>
  </sheetViews>
  <sheetFormatPr defaultColWidth="9.109375" defaultRowHeight="15.6"/>
  <cols>
    <col min="1" max="1" width="10.33203125" style="1" customWidth="1"/>
    <col min="2" max="9" width="12.77734375" style="1" customWidth="1"/>
    <col min="10" max="10" width="14.77734375" style="1" customWidth="1"/>
    <col min="11" max="12" width="12.77734375" style="1" customWidth="1"/>
    <col min="13" max="13" width="13.44140625" style="37" customWidth="1"/>
    <col min="14" max="18" width="8.88671875" style="37" customWidth="1"/>
    <col min="19" max="19" width="10.5546875" style="37" customWidth="1"/>
    <col min="20" max="20" width="10.6640625" style="37" customWidth="1"/>
    <col min="21" max="24" width="8.88671875" style="37" customWidth="1"/>
    <col min="25" max="26" width="9.109375" style="37"/>
    <col min="27" max="16384" width="9.109375" style="1"/>
  </cols>
  <sheetData>
    <row r="1" spans="1:12" ht="15.75" customHeight="1">
      <c r="A1" s="23" t="s">
        <v>42</v>
      </c>
      <c r="B1" s="22"/>
      <c r="C1" s="5" t="s">
        <v>38</v>
      </c>
      <c r="D1" s="22"/>
      <c r="E1" s="22"/>
      <c r="F1" s="22"/>
      <c r="G1" s="22"/>
      <c r="H1" s="22"/>
      <c r="I1" s="22"/>
      <c r="J1" s="22"/>
      <c r="K1" s="2"/>
      <c r="L1" s="2"/>
    </row>
    <row r="2" spans="1:12" ht="15.75" customHeight="1">
      <c r="A2" s="21"/>
      <c r="B2" s="3"/>
      <c r="C2" s="3"/>
      <c r="D2" s="3"/>
      <c r="E2" s="3"/>
      <c r="F2" s="3"/>
      <c r="G2" s="3"/>
      <c r="H2" s="19"/>
      <c r="I2" s="19"/>
      <c r="J2" s="4"/>
      <c r="K2" s="4"/>
      <c r="L2" s="4"/>
    </row>
    <row r="3" spans="1:12" ht="16.2">
      <c r="A3" s="21" t="s">
        <v>41</v>
      </c>
      <c r="B3" s="3"/>
      <c r="C3" s="3"/>
      <c r="D3" s="3"/>
      <c r="E3" s="3"/>
      <c r="F3" s="3"/>
      <c r="G3" s="3"/>
      <c r="H3" s="19"/>
      <c r="I3" s="19"/>
      <c r="J3" s="4"/>
      <c r="K3" s="4"/>
      <c r="L3" s="4"/>
    </row>
    <row r="4" spans="1:12" ht="16.2">
      <c r="A4" s="5"/>
      <c r="B4" s="3"/>
      <c r="C4" s="3"/>
      <c r="D4" s="3"/>
      <c r="E4" s="3"/>
      <c r="F4" s="3"/>
      <c r="G4" s="44"/>
      <c r="H4" s="44"/>
      <c r="I4" s="44"/>
      <c r="J4" s="44"/>
      <c r="K4" s="44"/>
      <c r="L4" s="44"/>
    </row>
    <row r="5" spans="1:12" ht="43.8" customHeight="1">
      <c r="A5" s="83" t="s">
        <v>31</v>
      </c>
      <c r="B5" s="83" t="s">
        <v>29</v>
      </c>
      <c r="C5" s="83" t="s">
        <v>116</v>
      </c>
      <c r="D5" s="84" t="s">
        <v>27</v>
      </c>
      <c r="E5" s="83" t="s">
        <v>26</v>
      </c>
      <c r="F5" s="83" t="s">
        <v>25</v>
      </c>
      <c r="G5" s="213" t="s">
        <v>226</v>
      </c>
      <c r="H5" s="213" t="s">
        <v>225</v>
      </c>
      <c r="I5" s="212" t="s">
        <v>173</v>
      </c>
      <c r="J5" s="212" t="s">
        <v>224</v>
      </c>
      <c r="K5" s="211" t="s">
        <v>223</v>
      </c>
      <c r="L5" s="210" t="s">
        <v>222</v>
      </c>
    </row>
    <row r="6" spans="1:12">
      <c r="A6" s="11">
        <v>2018</v>
      </c>
      <c r="B6" s="11">
        <v>0</v>
      </c>
      <c r="C6" s="11">
        <v>12</v>
      </c>
      <c r="D6" s="208">
        <v>2500</v>
      </c>
      <c r="E6" s="11">
        <v>48</v>
      </c>
      <c r="F6" s="13">
        <v>5000</v>
      </c>
      <c r="G6" s="207">
        <f t="shared" ref="G6:G15" si="0">1-EXP(-MAX(0,B6-6)/$E$20)</f>
        <v>0</v>
      </c>
      <c r="H6" s="207">
        <f t="shared" ref="H6:H15" si="1">1-EXP(-(C6-6)/$E$20)</f>
        <v>0.52086458059431762</v>
      </c>
      <c r="I6" s="206">
        <f t="shared" ref="I6:I15" si="2">VLOOKUP(A6,A$26:B$29,2)*(H6-G6)</f>
        <v>2619.5083550119034</v>
      </c>
      <c r="J6" s="206">
        <f t="shared" ref="J6:J15" si="3">D6*LN(I6)-I6</f>
        <v>17057.346465957395</v>
      </c>
      <c r="K6" s="205">
        <f t="shared" ref="K6:K15" si="4">(D6-I6)^2/I6</f>
        <v>5.4522624027233677</v>
      </c>
      <c r="L6" s="204"/>
    </row>
    <row r="7" spans="1:12" ht="15.75" customHeight="1">
      <c r="A7" s="11">
        <v>2018</v>
      </c>
      <c r="B7" s="11">
        <v>12</v>
      </c>
      <c r="C7" s="11">
        <v>24</v>
      </c>
      <c r="D7" s="208">
        <v>1800</v>
      </c>
      <c r="E7" s="11">
        <v>48</v>
      </c>
      <c r="F7" s="13">
        <v>5000</v>
      </c>
      <c r="G7" s="207">
        <f t="shared" si="0"/>
        <v>0.52086458059431762</v>
      </c>
      <c r="H7" s="207">
        <f t="shared" si="1"/>
        <v>0.89000452235363614</v>
      </c>
      <c r="I7" s="206">
        <f t="shared" si="2"/>
        <v>1856.461732344738</v>
      </c>
      <c r="J7" s="206">
        <f t="shared" si="3"/>
        <v>11691.108056751396</v>
      </c>
      <c r="K7" s="205">
        <f t="shared" si="4"/>
        <v>1.7172059966689641</v>
      </c>
      <c r="L7" s="204"/>
    </row>
    <row r="8" spans="1:12">
      <c r="A8" s="11">
        <v>2018</v>
      </c>
      <c r="B8" s="11">
        <v>24</v>
      </c>
      <c r="C8" s="11">
        <v>36</v>
      </c>
      <c r="D8" s="208">
        <v>500</v>
      </c>
      <c r="E8" s="11">
        <v>48</v>
      </c>
      <c r="F8" s="13">
        <v>5000</v>
      </c>
      <c r="G8" s="207">
        <f t="shared" si="0"/>
        <v>0.89000452235363614</v>
      </c>
      <c r="H8" s="207">
        <f t="shared" si="1"/>
        <v>0.97474825568592005</v>
      </c>
      <c r="I8" s="206">
        <f t="shared" si="2"/>
        <v>426.18931248027388</v>
      </c>
      <c r="J8" s="206">
        <f t="shared" si="3"/>
        <v>2601.2525090439949</v>
      </c>
      <c r="K8" s="205">
        <f t="shared" si="4"/>
        <v>12.783092941559424</v>
      </c>
      <c r="L8" s="204"/>
    </row>
    <row r="9" spans="1:12">
      <c r="A9" s="11">
        <v>2018</v>
      </c>
      <c r="B9" s="11">
        <v>36</v>
      </c>
      <c r="C9" s="11">
        <v>48</v>
      </c>
      <c r="D9" s="208">
        <v>200</v>
      </c>
      <c r="E9" s="11">
        <v>48</v>
      </c>
      <c r="F9" s="13">
        <v>5000</v>
      </c>
      <c r="G9" s="207">
        <f t="shared" si="0"/>
        <v>0.97474825568592005</v>
      </c>
      <c r="H9" s="207">
        <f t="shared" si="1"/>
        <v>0.99420293811574945</v>
      </c>
      <c r="I9" s="206">
        <f t="shared" si="2"/>
        <v>97.840600163084588</v>
      </c>
      <c r="J9" s="206">
        <f t="shared" si="3"/>
        <v>818.8273249345383</v>
      </c>
      <c r="K9" s="205">
        <f t="shared" si="4"/>
        <v>106.66883643030305</v>
      </c>
      <c r="L9" s="204"/>
    </row>
    <row r="10" spans="1:12">
      <c r="A10" s="11">
        <v>2019</v>
      </c>
      <c r="B10" s="11">
        <v>0</v>
      </c>
      <c r="C10" s="11">
        <v>12</v>
      </c>
      <c r="D10" s="208">
        <v>4100</v>
      </c>
      <c r="E10" s="11">
        <v>36</v>
      </c>
      <c r="F10" s="13">
        <v>7000</v>
      </c>
      <c r="G10" s="207">
        <f t="shared" si="0"/>
        <v>0</v>
      </c>
      <c r="H10" s="207">
        <f t="shared" si="1"/>
        <v>0.52086458059431762</v>
      </c>
      <c r="I10" s="206">
        <f t="shared" si="2"/>
        <v>3740.5063747403528</v>
      </c>
      <c r="J10" s="206">
        <f t="shared" si="3"/>
        <v>29990.096355052352</v>
      </c>
      <c r="K10" s="205">
        <f t="shared" si="4"/>
        <v>34.550313154136653</v>
      </c>
      <c r="L10" s="204"/>
    </row>
    <row r="11" spans="1:12" ht="15.75" customHeight="1">
      <c r="A11" s="11">
        <v>2019</v>
      </c>
      <c r="B11" s="11">
        <v>12</v>
      </c>
      <c r="C11" s="11">
        <v>24</v>
      </c>
      <c r="D11" s="208">
        <v>2000</v>
      </c>
      <c r="E11" s="11">
        <v>36</v>
      </c>
      <c r="F11" s="13">
        <v>7000</v>
      </c>
      <c r="G11" s="207">
        <f t="shared" si="0"/>
        <v>0.52086458059431762</v>
      </c>
      <c r="H11" s="207">
        <f t="shared" si="1"/>
        <v>0.89000452235363614</v>
      </c>
      <c r="I11" s="206">
        <f t="shared" si="2"/>
        <v>2650.919944962518</v>
      </c>
      <c r="J11" s="206">
        <f t="shared" si="3"/>
        <v>13114.404070598363</v>
      </c>
      <c r="K11" s="205">
        <f t="shared" si="4"/>
        <v>159.83009051448298</v>
      </c>
      <c r="L11" s="204"/>
    </row>
    <row r="12" spans="1:12">
      <c r="A12" s="11">
        <v>2019</v>
      </c>
      <c r="B12" s="11">
        <v>24</v>
      </c>
      <c r="C12" s="11">
        <v>36</v>
      </c>
      <c r="D12" s="208">
        <v>900</v>
      </c>
      <c r="E12" s="11">
        <v>36</v>
      </c>
      <c r="F12" s="13">
        <v>7000</v>
      </c>
      <c r="G12" s="207">
        <f t="shared" si="0"/>
        <v>0.89000452235363614</v>
      </c>
      <c r="H12" s="207">
        <f t="shared" si="1"/>
        <v>0.97474825568592005</v>
      </c>
      <c r="I12" s="206">
        <f t="shared" si="2"/>
        <v>608.57368029712904</v>
      </c>
      <c r="J12" s="206">
        <f t="shared" si="3"/>
        <v>5161.4325109008842</v>
      </c>
      <c r="K12" s="205">
        <f t="shared" si="4"/>
        <v>139.55467113545595</v>
      </c>
      <c r="L12" s="204"/>
    </row>
    <row r="13" spans="1:12">
      <c r="A13" s="11">
        <v>2020</v>
      </c>
      <c r="B13" s="11">
        <v>0</v>
      </c>
      <c r="C13" s="11">
        <v>12</v>
      </c>
      <c r="D13" s="208">
        <v>4600</v>
      </c>
      <c r="E13" s="11">
        <v>24</v>
      </c>
      <c r="F13" s="13">
        <v>6800</v>
      </c>
      <c r="G13" s="207">
        <f t="shared" si="0"/>
        <v>0</v>
      </c>
      <c r="H13" s="207">
        <f t="shared" si="1"/>
        <v>0.52086458059431762</v>
      </c>
      <c r="I13" s="206">
        <f t="shared" si="2"/>
        <v>3979.6192705569451</v>
      </c>
      <c r="J13" s="206">
        <f t="shared" si="3"/>
        <v>34149.511321420738</v>
      </c>
      <c r="K13" s="205">
        <f t="shared" si="4"/>
        <v>96.710821638582075</v>
      </c>
      <c r="L13" s="204"/>
    </row>
    <row r="14" spans="1:12">
      <c r="A14" s="11">
        <v>2020</v>
      </c>
      <c r="B14" s="11">
        <v>12</v>
      </c>
      <c r="C14" s="11">
        <v>24</v>
      </c>
      <c r="D14" s="208">
        <v>2200</v>
      </c>
      <c r="E14" s="11">
        <v>24</v>
      </c>
      <c r="F14" s="13">
        <v>6800</v>
      </c>
      <c r="G14" s="207">
        <f t="shared" si="0"/>
        <v>0.52086458059431762</v>
      </c>
      <c r="H14" s="207">
        <f t="shared" si="1"/>
        <v>0.89000452235363614</v>
      </c>
      <c r="I14" s="206">
        <f t="shared" si="2"/>
        <v>2820.3807294430549</v>
      </c>
      <c r="J14" s="206">
        <f t="shared" si="3"/>
        <v>14657.799034128657</v>
      </c>
      <c r="K14" s="205">
        <f t="shared" si="4"/>
        <v>136.46109741371626</v>
      </c>
      <c r="L14" s="209">
        <f>-(1-H14)*(C14-6)/($E$20^2)</f>
        <v>-2.9773600578048526E-2</v>
      </c>
    </row>
    <row r="15" spans="1:12">
      <c r="A15" s="11">
        <v>2021</v>
      </c>
      <c r="B15" s="11">
        <v>0</v>
      </c>
      <c r="C15" s="11">
        <v>12</v>
      </c>
      <c r="D15" s="208">
        <v>5300</v>
      </c>
      <c r="E15" s="11">
        <v>12</v>
      </c>
      <c r="F15" s="13">
        <v>5300</v>
      </c>
      <c r="G15" s="207">
        <f t="shared" si="0"/>
        <v>0</v>
      </c>
      <c r="H15" s="207">
        <f t="shared" si="1"/>
        <v>0.52086458059431762</v>
      </c>
      <c r="I15" s="206">
        <f t="shared" si="2"/>
        <v>5300</v>
      </c>
      <c r="J15" s="206">
        <f t="shared" si="3"/>
        <v>40149.949127563123</v>
      </c>
      <c r="K15" s="205">
        <f t="shared" si="4"/>
        <v>0</v>
      </c>
      <c r="L15" s="204"/>
    </row>
    <row r="16" spans="1:12">
      <c r="A16" s="3"/>
      <c r="B16" s="3"/>
      <c r="C16" s="3"/>
      <c r="D16" s="3"/>
      <c r="E16" s="3"/>
      <c r="F16" s="3"/>
      <c r="G16" s="1672" t="s">
        <v>221</v>
      </c>
      <c r="H16" s="1673"/>
      <c r="I16" s="1674" t="s">
        <v>220</v>
      </c>
      <c r="J16" s="1675"/>
      <c r="K16" s="203" t="s">
        <v>219</v>
      </c>
      <c r="L16" s="202" t="s">
        <v>218</v>
      </c>
    </row>
    <row r="17" spans="1:12">
      <c r="A17" s="162" t="s">
        <v>217</v>
      </c>
      <c r="B17" s="74"/>
      <c r="C17" s="2"/>
      <c r="D17" s="2"/>
      <c r="E17" s="2"/>
      <c r="F17" s="2"/>
      <c r="G17" s="2"/>
      <c r="H17" s="2"/>
      <c r="I17" s="2"/>
      <c r="J17" s="2"/>
      <c r="K17" s="2"/>
      <c r="L17" s="2"/>
    </row>
    <row r="18" spans="1:12" ht="18.600000000000001">
      <c r="A18" s="162" t="s">
        <v>216</v>
      </c>
      <c r="B18" s="74"/>
      <c r="C18" s="2"/>
      <c r="D18" s="2"/>
      <c r="E18" s="2"/>
      <c r="F18" s="2"/>
      <c r="G18" s="2"/>
      <c r="H18" s="2"/>
      <c r="I18" s="2"/>
      <c r="J18" s="2"/>
      <c r="K18" s="2"/>
      <c r="L18" s="2"/>
    </row>
    <row r="19" spans="1:12">
      <c r="A19" s="162"/>
      <c r="B19" s="74"/>
      <c r="C19" s="2"/>
      <c r="D19" s="2"/>
      <c r="E19" s="2"/>
      <c r="F19" s="2"/>
      <c r="G19" s="2"/>
      <c r="H19" s="2"/>
      <c r="I19" s="2"/>
      <c r="J19" s="2"/>
      <c r="K19" s="2"/>
      <c r="L19" s="2"/>
    </row>
    <row r="20" spans="1:12">
      <c r="A20" s="162" t="s">
        <v>215</v>
      </c>
      <c r="B20" s="162"/>
      <c r="C20" s="162"/>
      <c r="D20" s="201"/>
      <c r="E20" s="11">
        <v>8.1547000000000001</v>
      </c>
      <c r="F20" s="2"/>
      <c r="G20" s="2"/>
      <c r="H20" s="2"/>
      <c r="I20" s="2"/>
      <c r="J20" s="2"/>
      <c r="K20" s="2"/>
      <c r="L20" s="2"/>
    </row>
    <row r="21" spans="1:12">
      <c r="A21" s="3"/>
      <c r="B21" s="161"/>
      <c r="C21" s="2"/>
      <c r="D21" s="2"/>
      <c r="E21" s="2"/>
      <c r="F21" s="2"/>
      <c r="G21" s="2"/>
      <c r="H21" s="2"/>
      <c r="I21" s="2"/>
      <c r="J21" s="2"/>
      <c r="K21" s="2"/>
      <c r="L21" s="2"/>
    </row>
    <row r="22" spans="1:12">
      <c r="A22" s="3" t="s">
        <v>80</v>
      </c>
      <c r="B22" s="3" t="s">
        <v>214</v>
      </c>
      <c r="C22" s="3"/>
      <c r="D22" s="3"/>
      <c r="E22" s="3"/>
      <c r="F22" s="3"/>
      <c r="G22" s="3"/>
      <c r="H22" s="3"/>
      <c r="I22" s="2"/>
      <c r="J22" s="2"/>
      <c r="K22" s="2"/>
      <c r="L22" s="2"/>
    </row>
    <row r="23" spans="1:12" ht="16.2">
      <c r="A23" s="3"/>
      <c r="B23" s="200" t="s">
        <v>213</v>
      </c>
      <c r="C23" s="199"/>
      <c r="D23" s="199"/>
      <c r="E23" s="199"/>
      <c r="F23" s="199"/>
      <c r="G23" s="199"/>
      <c r="H23" s="198"/>
      <c r="I23" s="198"/>
      <c r="J23" s="197"/>
      <c r="K23" s="197"/>
      <c r="L23" s="197"/>
    </row>
    <row r="24" spans="1:12" s="37" customFormat="1" ht="16.2">
      <c r="B24" s="92"/>
      <c r="C24" s="192"/>
      <c r="D24" s="192"/>
      <c r="E24" s="192"/>
      <c r="F24" s="192"/>
      <c r="G24" s="192"/>
    </row>
    <row r="25" spans="1:12" s="37" customFormat="1" ht="16.2">
      <c r="A25" s="196" t="s">
        <v>47</v>
      </c>
      <c r="B25" s="195" t="s">
        <v>101</v>
      </c>
      <c r="C25" s="192"/>
      <c r="D25" s="192"/>
      <c r="E25" s="192"/>
      <c r="F25" s="192"/>
      <c r="G25" s="192"/>
    </row>
    <row r="26" spans="1:12" s="37" customFormat="1">
      <c r="A26" s="194">
        <v>2018</v>
      </c>
      <c r="B26" s="193">
        <f>F9/H9</f>
        <v>5029.1543188115966</v>
      </c>
      <c r="C26" s="192"/>
      <c r="D26" s="192"/>
      <c r="E26" s="192"/>
      <c r="F26" s="192"/>
      <c r="G26" s="192"/>
    </row>
    <row r="27" spans="1:12" s="37" customFormat="1">
      <c r="A27" s="194">
        <v>2019</v>
      </c>
      <c r="B27" s="193">
        <f>F12/H12</f>
        <v>7181.3413967836996</v>
      </c>
      <c r="C27" s="192"/>
      <c r="D27" s="192"/>
      <c r="E27" s="192"/>
      <c r="F27" s="192"/>
      <c r="G27" s="192"/>
    </row>
    <row r="28" spans="1:12" s="37" customFormat="1">
      <c r="A28" s="194">
        <v>2020</v>
      </c>
      <c r="B28" s="193">
        <f>F14/H14</f>
        <v>7640.4106150126672</v>
      </c>
      <c r="C28" s="192"/>
      <c r="D28" s="192"/>
      <c r="E28" s="192"/>
      <c r="F28" s="192"/>
      <c r="G28" s="192"/>
    </row>
    <row r="29" spans="1:12" s="37" customFormat="1">
      <c r="A29" s="194">
        <v>2021</v>
      </c>
      <c r="B29" s="193">
        <f>F15/H15</f>
        <v>10175.389530139651</v>
      </c>
      <c r="C29" s="192"/>
      <c r="D29" s="192"/>
      <c r="E29" s="192"/>
      <c r="F29" s="192"/>
      <c r="G29" s="192"/>
    </row>
    <row r="30" spans="1:12" s="37" customFormat="1"/>
    <row r="31" spans="1:12">
      <c r="A31" s="3" t="s">
        <v>9</v>
      </c>
      <c r="B31" s="3" t="s">
        <v>212</v>
      </c>
      <c r="C31" s="3"/>
      <c r="D31" s="3"/>
      <c r="E31" s="3"/>
      <c r="F31" s="3"/>
      <c r="G31" s="3"/>
      <c r="H31" s="3"/>
      <c r="I31" s="2"/>
      <c r="J31" s="2"/>
      <c r="K31" s="2"/>
      <c r="L31" s="2"/>
    </row>
    <row r="32" spans="1:12" ht="16.2">
      <c r="A32" s="3"/>
      <c r="B32" s="5" t="s">
        <v>64</v>
      </c>
      <c r="C32" s="4"/>
      <c r="D32" s="4"/>
      <c r="E32" s="4"/>
      <c r="F32" s="4"/>
      <c r="G32" s="4"/>
      <c r="H32" s="3"/>
      <c r="I32" s="3"/>
      <c r="J32" s="2"/>
      <c r="K32" s="2"/>
      <c r="L32" s="2"/>
    </row>
    <row r="33" spans="1:12" s="37" customFormat="1" ht="16.2" customHeight="1">
      <c r="B33" s="92"/>
      <c r="F33" s="190"/>
      <c r="G33" s="190"/>
      <c r="H33" s="190"/>
      <c r="I33" s="190"/>
      <c r="J33" s="190"/>
      <c r="K33" s="190"/>
    </row>
    <row r="34" spans="1:12" s="37" customFormat="1">
      <c r="B34" s="191">
        <f>SUM(J6:J15)</f>
        <v>169391.72677635145</v>
      </c>
      <c r="F34" s="190"/>
      <c r="G34" s="190"/>
      <c r="H34" s="190"/>
      <c r="I34" s="190"/>
      <c r="J34" s="190"/>
      <c r="K34" s="190"/>
    </row>
    <row r="35" spans="1:12" s="37" customFormat="1" ht="16.2">
      <c r="B35" s="92"/>
      <c r="F35" s="190"/>
      <c r="G35" s="190"/>
      <c r="H35" s="190"/>
      <c r="I35" s="190"/>
      <c r="J35" s="190"/>
      <c r="K35" s="190"/>
    </row>
    <row r="36" spans="1:12" ht="19.2">
      <c r="A36" s="3" t="s">
        <v>7</v>
      </c>
      <c r="B36" s="3" t="s">
        <v>211</v>
      </c>
      <c r="C36" s="5"/>
      <c r="D36" s="3"/>
      <c r="E36" s="3"/>
      <c r="F36" s="3"/>
      <c r="G36" s="3"/>
      <c r="H36" s="3"/>
      <c r="I36" s="2"/>
      <c r="J36" s="2"/>
      <c r="K36" s="2"/>
      <c r="L36" s="2"/>
    </row>
    <row r="37" spans="1:12" ht="16.2">
      <c r="A37" s="5"/>
      <c r="B37" s="5" t="s">
        <v>64</v>
      </c>
      <c r="C37" s="4"/>
      <c r="D37" s="4"/>
      <c r="E37" s="4"/>
      <c r="F37" s="4"/>
      <c r="G37" s="4"/>
      <c r="H37" s="3"/>
      <c r="I37" s="3"/>
      <c r="J37" s="2"/>
      <c r="K37" s="2"/>
      <c r="L37" s="2"/>
    </row>
    <row r="38" spans="1:12" s="37" customFormat="1" ht="16.2" customHeight="1"/>
    <row r="39" spans="1:12" s="37" customFormat="1" ht="16.2" customHeight="1">
      <c r="B39" s="189">
        <f>SUM(K6:K15)/(10-5)</f>
        <v>138.74567832552574</v>
      </c>
    </row>
    <row r="40" spans="1:12" s="37" customFormat="1" ht="16.2" customHeight="1"/>
    <row r="41" spans="1:12" ht="19.95" customHeight="1">
      <c r="A41" s="162" t="s">
        <v>210</v>
      </c>
      <c r="B41" s="2"/>
      <c r="C41" s="2"/>
      <c r="D41" s="2"/>
      <c r="E41" s="2"/>
      <c r="F41" s="2"/>
      <c r="G41" s="2"/>
      <c r="H41" s="2"/>
      <c r="I41" s="2"/>
      <c r="J41" s="2"/>
      <c r="K41" s="2"/>
      <c r="L41" s="2"/>
    </row>
    <row r="42" spans="1:12">
      <c r="A42" s="2"/>
      <c r="B42" s="2"/>
      <c r="C42" s="2"/>
      <c r="D42" s="2"/>
      <c r="E42" s="2"/>
      <c r="F42" s="2"/>
      <c r="G42" s="2"/>
      <c r="H42" s="2"/>
      <c r="I42" s="2"/>
      <c r="J42" s="2"/>
      <c r="K42" s="2"/>
      <c r="L42" s="2"/>
    </row>
    <row r="43" spans="1:12" ht="16.2">
      <c r="A43" s="3" t="s">
        <v>4</v>
      </c>
      <c r="B43" s="3" t="s">
        <v>209</v>
      </c>
      <c r="C43" s="5"/>
      <c r="D43" s="3"/>
      <c r="E43" s="3"/>
      <c r="F43" s="3"/>
      <c r="G43" s="3"/>
      <c r="H43" s="3"/>
      <c r="I43" s="2"/>
      <c r="J43" s="3"/>
      <c r="K43" s="3"/>
      <c r="L43" s="3"/>
    </row>
    <row r="44" spans="1:12" ht="16.2">
      <c r="A44" s="5"/>
      <c r="B44" s="5" t="s">
        <v>64</v>
      </c>
      <c r="C44" s="5"/>
      <c r="D44" s="4"/>
      <c r="E44" s="4"/>
      <c r="F44" s="3"/>
      <c r="G44" s="3"/>
      <c r="H44" s="3"/>
      <c r="I44" s="2"/>
      <c r="J44" s="2"/>
      <c r="K44" s="2"/>
      <c r="L44" s="2"/>
    </row>
    <row r="45" spans="1:12" ht="16.2">
      <c r="A45" s="59"/>
      <c r="B45" s="59"/>
      <c r="C45" s="59"/>
      <c r="D45" s="188"/>
      <c r="E45" s="188"/>
      <c r="F45" s="187"/>
      <c r="G45" s="187"/>
      <c r="H45" s="187"/>
    </row>
    <row r="46" spans="1:12" s="37" customFormat="1" ht="15.6" customHeight="1">
      <c r="B46" s="1676" t="s">
        <v>208</v>
      </c>
      <c r="C46" s="1677"/>
      <c r="D46" s="1677"/>
      <c r="E46" s="1677"/>
      <c r="F46" s="1677"/>
      <c r="G46" s="1677"/>
      <c r="H46" s="1677"/>
      <c r="I46" s="1677"/>
      <c r="J46" s="1677"/>
      <c r="K46" s="1678"/>
    </row>
    <row r="47" spans="1:12" s="37" customFormat="1">
      <c r="B47" s="1679"/>
      <c r="C47" s="1680"/>
      <c r="D47" s="1680"/>
      <c r="E47" s="1680"/>
      <c r="F47" s="1680"/>
      <c r="G47" s="1680"/>
      <c r="H47" s="1680"/>
      <c r="I47" s="1680"/>
      <c r="J47" s="1680"/>
      <c r="K47" s="1681"/>
    </row>
    <row r="48" spans="1:12" s="37" customFormat="1" ht="15.6" customHeight="1">
      <c r="B48" s="186"/>
      <c r="C48" s="186"/>
      <c r="D48" s="186"/>
      <c r="E48" s="186"/>
      <c r="F48" s="186"/>
      <c r="G48" s="186"/>
      <c r="H48" s="186"/>
      <c r="I48" s="186"/>
      <c r="J48" s="186"/>
      <c r="K48" s="186"/>
    </row>
    <row r="49" spans="1:12" ht="16.2">
      <c r="A49" s="3" t="s">
        <v>48</v>
      </c>
      <c r="B49" s="3" t="s">
        <v>207</v>
      </c>
      <c r="C49" s="5"/>
      <c r="D49" s="3"/>
      <c r="E49" s="3"/>
      <c r="F49" s="3"/>
      <c r="G49" s="3"/>
      <c r="H49" s="2"/>
      <c r="I49" s="44"/>
      <c r="J49" s="2"/>
      <c r="K49" s="2"/>
      <c r="L49" s="2"/>
    </row>
    <row r="50" spans="1:12" ht="16.2">
      <c r="A50" s="5"/>
      <c r="B50" s="5" t="s">
        <v>64</v>
      </c>
      <c r="C50" s="5"/>
      <c r="D50" s="4"/>
      <c r="E50" s="4"/>
      <c r="F50" s="3"/>
      <c r="G50" s="3"/>
      <c r="H50" s="2"/>
      <c r="I50" s="44"/>
      <c r="J50" s="2"/>
      <c r="K50" s="2"/>
      <c r="L50" s="2"/>
    </row>
    <row r="51" spans="1:12" s="37" customFormat="1"/>
    <row r="52" spans="1:12" s="37" customFormat="1">
      <c r="B52" s="173">
        <f>B39*B28*(1-H14)</f>
        <v>116603.34085190475</v>
      </c>
    </row>
    <row r="53" spans="1:12" s="37" customFormat="1"/>
    <row r="54" spans="1:12" ht="16.2">
      <c r="A54" s="3" t="s">
        <v>129</v>
      </c>
      <c r="B54" s="3" t="s">
        <v>206</v>
      </c>
      <c r="C54" s="5"/>
      <c r="D54" s="3"/>
      <c r="E54" s="3"/>
      <c r="F54" s="3"/>
      <c r="G54" s="3"/>
      <c r="H54" s="2"/>
      <c r="I54" s="44"/>
      <c r="J54" s="2"/>
      <c r="K54" s="2"/>
      <c r="L54" s="2"/>
    </row>
    <row r="55" spans="1:12" ht="16.2">
      <c r="A55" s="5"/>
      <c r="B55" s="5" t="s">
        <v>64</v>
      </c>
      <c r="C55" s="5"/>
      <c r="D55" s="4"/>
      <c r="E55" s="185" t="s">
        <v>205</v>
      </c>
      <c r="F55" s="184"/>
      <c r="G55" s="184"/>
      <c r="H55" s="182"/>
      <c r="I55" s="183"/>
      <c r="J55" s="182"/>
      <c r="K55" s="182"/>
      <c r="L55" s="182"/>
    </row>
    <row r="56" spans="1:12" s="37" customFormat="1"/>
    <row r="57" spans="1:12" s="37" customFormat="1">
      <c r="A57" s="1" t="s">
        <v>204</v>
      </c>
      <c r="G57" s="181" t="s">
        <v>203</v>
      </c>
      <c r="H57" s="180"/>
      <c r="I57" s="180"/>
      <c r="J57" s="180"/>
      <c r="K57" s="180"/>
      <c r="L57" s="179"/>
    </row>
    <row r="58" spans="1:12" s="37" customFormat="1" ht="16.2">
      <c r="A58" s="1" t="s">
        <v>202</v>
      </c>
      <c r="B58" s="57"/>
      <c r="C58" s="57"/>
      <c r="D58" s="57"/>
      <c r="E58" s="177">
        <f>1-H14</f>
        <v>0.10999547764636386</v>
      </c>
      <c r="G58" s="178"/>
      <c r="H58" s="176" t="s">
        <v>107</v>
      </c>
      <c r="I58" s="176" t="s">
        <v>106</v>
      </c>
      <c r="J58" s="176" t="s">
        <v>105</v>
      </c>
      <c r="K58" s="176" t="s">
        <v>197</v>
      </c>
      <c r="L58" s="176" t="s">
        <v>12</v>
      </c>
    </row>
    <row r="59" spans="1:12" s="37" customFormat="1" ht="16.2">
      <c r="A59" s="1" t="s">
        <v>201</v>
      </c>
      <c r="B59" s="57"/>
      <c r="C59" s="57"/>
      <c r="D59" s="57"/>
      <c r="E59" s="177">
        <f>-B28*L14</f>
        <v>227.48253390366924</v>
      </c>
      <c r="G59" s="176" t="s">
        <v>107</v>
      </c>
      <c r="H59" s="175">
        <v>702184</v>
      </c>
      <c r="I59" s="175">
        <v>1562.8789999999999</v>
      </c>
      <c r="J59" s="175">
        <v>4759.59</v>
      </c>
      <c r="K59" s="175">
        <v>15726.511</v>
      </c>
      <c r="L59" s="175">
        <v>18.621410000000001</v>
      </c>
    </row>
    <row r="60" spans="1:12" s="37" customFormat="1" ht="16.2">
      <c r="A60" s="1" t="s">
        <v>200</v>
      </c>
      <c r="G60" s="176" t="s">
        <v>106</v>
      </c>
      <c r="H60" s="175">
        <v>1562.8789999999999</v>
      </c>
      <c r="I60" s="175">
        <v>1029271</v>
      </c>
      <c r="J60" s="175">
        <v>21568.3</v>
      </c>
      <c r="K60" s="175">
        <v>71265.41</v>
      </c>
      <c r="L60" s="175">
        <v>84.383750000000006</v>
      </c>
    </row>
    <row r="61" spans="1:12" s="37" customFormat="1" ht="16.2">
      <c r="A61" s="1" t="s">
        <v>199</v>
      </c>
      <c r="G61" s="176" t="s">
        <v>105</v>
      </c>
      <c r="H61" s="175">
        <v>4759.59</v>
      </c>
      <c r="I61" s="175">
        <v>21568.3</v>
      </c>
      <c r="J61" s="175">
        <v>1256770</v>
      </c>
      <c r="K61" s="175">
        <v>217031.6</v>
      </c>
      <c r="L61" s="175">
        <v>256.98221000000001</v>
      </c>
    </row>
    <row r="62" spans="1:12" s="37" customFormat="1" ht="16.2">
      <c r="A62" s="174" t="s">
        <v>198</v>
      </c>
      <c r="B62" s="173">
        <f>E58*E58*J61</f>
        <v>15205.666642859618</v>
      </c>
      <c r="G62" s="176" t="s">
        <v>197</v>
      </c>
      <c r="H62" s="175">
        <v>15726.511</v>
      </c>
      <c r="I62" s="175">
        <v>71265.41</v>
      </c>
      <c r="J62" s="175">
        <v>217031.6</v>
      </c>
      <c r="K62" s="175">
        <v>3427590</v>
      </c>
      <c r="L62" s="175">
        <v>849.11377000000005</v>
      </c>
    </row>
    <row r="63" spans="1:12" s="37" customFormat="1" ht="16.2">
      <c r="A63" s="174" t="s">
        <v>196</v>
      </c>
      <c r="B63" s="173">
        <f>2*E58*E59*L61</f>
        <v>12860.443401552742</v>
      </c>
      <c r="G63" s="176" t="s">
        <v>12</v>
      </c>
      <c r="H63" s="175">
        <v>18.621410000000001</v>
      </c>
      <c r="I63" s="175">
        <v>84.383750000000006</v>
      </c>
      <c r="J63" s="175">
        <v>256.98221000000001</v>
      </c>
      <c r="K63" s="175">
        <v>849.11377000000005</v>
      </c>
      <c r="L63" s="175">
        <v>1.0054164000000001</v>
      </c>
    </row>
    <row r="64" spans="1:12" s="37" customFormat="1">
      <c r="A64" s="174" t="s">
        <v>195</v>
      </c>
      <c r="B64" s="173">
        <f>E59*E59*L63</f>
        <v>52028.592740855682</v>
      </c>
    </row>
    <row r="65" spans="1:3" s="37" customFormat="1">
      <c r="A65" s="172" t="s">
        <v>98</v>
      </c>
      <c r="B65" s="171">
        <f>SUM(B62:B64)</f>
        <v>80094.702785268048</v>
      </c>
      <c r="C65" s="170" t="s">
        <v>194</v>
      </c>
    </row>
    <row r="66" spans="1:3" s="37" customFormat="1"/>
    <row r="67" spans="1:3" s="37" customFormat="1"/>
    <row r="68" spans="1:3" s="37" customFormat="1"/>
    <row r="69" spans="1:3" s="37" customFormat="1"/>
    <row r="70" spans="1:3" s="37" customFormat="1"/>
    <row r="71" spans="1:3" s="37" customFormat="1"/>
    <row r="72" spans="1:3" s="37" customFormat="1"/>
    <row r="73" spans="1:3" s="37" customFormat="1"/>
    <row r="74" spans="1:3" s="37" customFormat="1"/>
    <row r="75" spans="1:3" s="37" customFormat="1"/>
    <row r="76" spans="1:3" s="37" customFormat="1"/>
    <row r="77" spans="1:3" s="37" customFormat="1"/>
    <row r="78" spans="1:3" s="37" customFormat="1"/>
    <row r="79" spans="1:3" s="37" customFormat="1"/>
    <row r="80" spans="1:3" s="37" customFormat="1"/>
    <row r="81" s="37" customFormat="1"/>
    <row r="82" s="37" customFormat="1"/>
    <row r="83" s="37" customFormat="1"/>
    <row r="84" s="37" customFormat="1"/>
    <row r="85" s="37" customFormat="1"/>
    <row r="86" s="37" customFormat="1"/>
    <row r="87" s="37" customFormat="1"/>
    <row r="88" s="37" customFormat="1"/>
    <row r="89" s="37" customFormat="1"/>
    <row r="90" s="37" customFormat="1"/>
    <row r="91" s="37" customFormat="1"/>
    <row r="92" s="37" customFormat="1"/>
    <row r="93" s="37" customFormat="1"/>
    <row r="94" s="37" customFormat="1"/>
    <row r="95" s="37" customFormat="1"/>
    <row r="96" s="37" customFormat="1"/>
    <row r="97" s="37" customFormat="1"/>
    <row r="98" s="37" customFormat="1"/>
    <row r="99" s="37" customFormat="1"/>
    <row r="100" s="37" customFormat="1"/>
    <row r="101" s="37" customFormat="1"/>
    <row r="102" s="37" customFormat="1"/>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row>
    <row r="150" spans="1:12">
      <c r="A150"/>
      <c r="B150"/>
      <c r="C150"/>
      <c r="D150"/>
      <c r="E150"/>
      <c r="F150"/>
      <c r="G150"/>
      <c r="H150"/>
      <c r="I150"/>
    </row>
    <row r="151" spans="1:12">
      <c r="A151"/>
      <c r="B151"/>
      <c r="C151"/>
      <c r="D151"/>
      <c r="E151"/>
      <c r="F151"/>
      <c r="G151"/>
      <c r="H151"/>
      <c r="I151"/>
    </row>
    <row r="152" spans="1:12">
      <c r="A152"/>
      <c r="B152"/>
      <c r="C152"/>
      <c r="D152"/>
      <c r="E152"/>
      <c r="F152"/>
      <c r="G152"/>
      <c r="H152"/>
      <c r="I152"/>
    </row>
    <row r="153" spans="1:12">
      <c r="A153"/>
      <c r="B153"/>
      <c r="C153"/>
      <c r="D153"/>
      <c r="E153"/>
      <c r="F153"/>
      <c r="G153"/>
      <c r="H153"/>
      <c r="I153"/>
    </row>
    <row r="154" spans="1:12">
      <c r="A154"/>
      <c r="B154"/>
      <c r="C154"/>
      <c r="D154"/>
      <c r="E154"/>
      <c r="F154"/>
      <c r="G154"/>
      <c r="H154"/>
      <c r="I154"/>
    </row>
    <row r="155" spans="1:12">
      <c r="A155"/>
      <c r="B155"/>
      <c r="C155"/>
      <c r="D155"/>
      <c r="E155"/>
      <c r="F155"/>
      <c r="G155"/>
      <c r="H155"/>
      <c r="I155"/>
    </row>
    <row r="156" spans="1:12">
      <c r="A156"/>
      <c r="B156"/>
      <c r="C156"/>
      <c r="D156"/>
      <c r="E156"/>
      <c r="F156"/>
      <c r="G156"/>
      <c r="H156"/>
      <c r="I156"/>
    </row>
    <row r="157" spans="1:12">
      <c r="A157"/>
      <c r="B157"/>
      <c r="C157"/>
      <c r="D157"/>
      <c r="E157"/>
      <c r="F157"/>
      <c r="G157"/>
      <c r="H157"/>
      <c r="I157"/>
    </row>
    <row r="158" spans="1:12">
      <c r="A158"/>
      <c r="B158"/>
      <c r="C158"/>
      <c r="D158"/>
      <c r="E158"/>
      <c r="F158"/>
      <c r="G158"/>
      <c r="H158"/>
      <c r="I158"/>
    </row>
    <row r="159" spans="1:12">
      <c r="A159"/>
      <c r="B159"/>
      <c r="C159"/>
      <c r="D159"/>
      <c r="E159"/>
      <c r="F159"/>
      <c r="G159"/>
      <c r="H159"/>
      <c r="I159"/>
    </row>
    <row r="160" spans="1:12">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sheetData>
  <mergeCells count="3">
    <mergeCell ref="G16:H16"/>
    <mergeCell ref="I16:J16"/>
    <mergeCell ref="B46:K47"/>
  </mergeCells>
  <pageMargins left="0.7" right="0.7" top="0.75" bottom="0.75" header="0.3" footer="0.3"/>
  <pageSetup orientation="portrait" horizontalDpi="0"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224FD-FA0B-447D-A64D-63066B9AF7D2}">
  <dimension ref="A1:R82"/>
  <sheetViews>
    <sheetView zoomScaleNormal="100" workbookViewId="0"/>
  </sheetViews>
  <sheetFormatPr defaultColWidth="8.88671875" defaultRowHeight="15.6"/>
  <cols>
    <col min="1" max="1" width="8.88671875" style="1" customWidth="1"/>
    <col min="2" max="2" width="10.6640625" style="1" customWidth="1"/>
    <col min="3" max="4" width="20.6640625" style="1" customWidth="1"/>
    <col min="5" max="5" width="12.109375" style="1" customWidth="1"/>
    <col min="6" max="6" width="8.88671875" style="1" customWidth="1"/>
    <col min="7" max="7" width="8.88671875" style="1"/>
    <col min="8" max="8" width="8.88671875" style="1" customWidth="1"/>
    <col min="9" max="11" width="8.88671875" style="1"/>
    <col min="12" max="12" width="11.77734375" style="1" customWidth="1"/>
    <col min="13" max="16384" width="8.88671875" style="1"/>
  </cols>
  <sheetData>
    <row r="1" spans="1:12" ht="17.399999999999999">
      <c r="A1" s="23" t="s">
        <v>2604</v>
      </c>
      <c r="B1" s="22"/>
      <c r="C1" s="22" t="s">
        <v>758</v>
      </c>
      <c r="D1" s="22"/>
      <c r="E1" s="22"/>
      <c r="F1" s="22"/>
      <c r="G1" s="22"/>
      <c r="H1" s="22"/>
      <c r="I1" s="22"/>
      <c r="J1" s="22"/>
      <c r="K1" s="22"/>
      <c r="L1" s="2"/>
    </row>
    <row r="2" spans="1:12">
      <c r="A2" s="22"/>
      <c r="B2" s="22"/>
      <c r="C2" s="22"/>
      <c r="D2" s="22"/>
      <c r="E2" s="22"/>
      <c r="F2" s="22"/>
      <c r="G2" s="22"/>
      <c r="H2" s="22"/>
      <c r="I2" s="22"/>
      <c r="J2" s="22"/>
      <c r="K2" s="22"/>
      <c r="L2" s="2"/>
    </row>
    <row r="3" spans="1:12">
      <c r="A3" s="376" t="s">
        <v>2603</v>
      </c>
      <c r="B3" s="325"/>
      <c r="C3" s="325"/>
      <c r="D3" s="22"/>
      <c r="E3" s="22"/>
      <c r="F3" s="22"/>
      <c r="G3" s="22"/>
      <c r="H3" s="22"/>
      <c r="I3" s="22"/>
      <c r="J3" s="22"/>
      <c r="K3" s="22"/>
      <c r="L3" s="2"/>
    </row>
    <row r="4" spans="1:12">
      <c r="A4" s="376"/>
      <c r="B4" s="325"/>
      <c r="C4" s="325"/>
      <c r="D4" s="22"/>
      <c r="E4" s="22"/>
      <c r="F4" s="22"/>
      <c r="G4" s="22"/>
      <c r="H4" s="22"/>
      <c r="I4" s="22"/>
      <c r="J4" s="22"/>
      <c r="K4" s="22"/>
      <c r="L4" s="22"/>
    </row>
    <row r="5" spans="1:12" ht="48">
      <c r="A5" s="22"/>
      <c r="B5" s="332" t="s">
        <v>2595</v>
      </c>
      <c r="C5" s="332" t="s">
        <v>2602</v>
      </c>
      <c r="D5" s="332" t="s">
        <v>2601</v>
      </c>
      <c r="E5" s="22"/>
      <c r="F5" s="22"/>
      <c r="G5" s="22"/>
      <c r="H5" s="22"/>
      <c r="I5" s="22"/>
      <c r="J5" s="22"/>
      <c r="K5" s="22"/>
      <c r="L5" s="22"/>
    </row>
    <row r="6" spans="1:12">
      <c r="A6" s="22"/>
      <c r="B6" s="628">
        <v>1</v>
      </c>
      <c r="C6" s="627">
        <v>0.01</v>
      </c>
      <c r="D6" s="1493">
        <v>50</v>
      </c>
      <c r="E6" s="22"/>
      <c r="F6" s="22"/>
      <c r="G6" s="22"/>
      <c r="H6" s="22"/>
      <c r="I6" s="22"/>
      <c r="J6" s="22"/>
      <c r="K6" s="22"/>
      <c r="L6" s="22"/>
    </row>
    <row r="7" spans="1:12">
      <c r="A7" s="22"/>
      <c r="B7" s="628">
        <v>2</v>
      </c>
      <c r="C7" s="627">
        <v>2E-3</v>
      </c>
      <c r="D7" s="1493">
        <v>100</v>
      </c>
      <c r="E7" s="22"/>
      <c r="F7" s="22"/>
      <c r="G7" s="22"/>
      <c r="H7" s="22"/>
      <c r="I7" s="22"/>
      <c r="J7" s="22"/>
      <c r="K7" s="22"/>
      <c r="L7" s="22"/>
    </row>
    <row r="8" spans="1:12">
      <c r="A8" s="22"/>
      <c r="B8" s="628">
        <v>3</v>
      </c>
      <c r="C8" s="627">
        <v>4.0000000000000001E-3</v>
      </c>
      <c r="D8" s="1493">
        <v>125</v>
      </c>
      <c r="E8" s="22"/>
      <c r="F8" s="22"/>
      <c r="G8" s="22"/>
      <c r="H8" s="22"/>
      <c r="I8" s="22"/>
      <c r="J8" s="22"/>
      <c r="K8" s="22"/>
      <c r="L8" s="22"/>
    </row>
    <row r="9" spans="1:12">
      <c r="A9" s="22"/>
      <c r="B9" s="628">
        <v>4</v>
      </c>
      <c r="C9" s="627">
        <v>6.0000000000000001E-3</v>
      </c>
      <c r="D9" s="1493">
        <v>150</v>
      </c>
      <c r="E9" s="22"/>
      <c r="F9" s="22"/>
      <c r="G9" s="22"/>
      <c r="H9" s="22"/>
      <c r="I9" s="22"/>
      <c r="J9" s="22"/>
      <c r="K9" s="22"/>
      <c r="L9" s="22"/>
    </row>
    <row r="10" spans="1:12">
      <c r="A10" s="22"/>
      <c r="B10" s="628">
        <v>5</v>
      </c>
      <c r="C10" s="627">
        <v>8.9999999999999998E-4</v>
      </c>
      <c r="D10" s="1493">
        <v>25</v>
      </c>
      <c r="E10" s="22"/>
      <c r="F10" s="22"/>
      <c r="G10" s="22"/>
      <c r="H10" s="22"/>
      <c r="I10" s="22"/>
      <c r="J10" s="22"/>
      <c r="K10" s="22"/>
      <c r="L10" s="22"/>
    </row>
    <row r="11" spans="1:12">
      <c r="A11" s="22"/>
      <c r="B11" s="628">
        <v>6</v>
      </c>
      <c r="C11" s="627">
        <v>5.0000000000000001E-3</v>
      </c>
      <c r="D11" s="1493">
        <v>200</v>
      </c>
      <c r="E11" s="22"/>
      <c r="F11" s="22"/>
      <c r="G11" s="22"/>
      <c r="H11" s="22"/>
      <c r="I11" s="22"/>
      <c r="J11" s="22"/>
      <c r="K11" s="22"/>
      <c r="L11" s="22"/>
    </row>
    <row r="12" spans="1:12">
      <c r="A12" s="22"/>
      <c r="B12" s="628">
        <v>7</v>
      </c>
      <c r="C12" s="627">
        <v>4.4999999999999997E-3</v>
      </c>
      <c r="D12" s="1493">
        <v>225</v>
      </c>
      <c r="E12" s="22"/>
      <c r="F12" s="22"/>
      <c r="G12" s="22"/>
      <c r="H12" s="22"/>
      <c r="I12" s="22"/>
      <c r="J12" s="22"/>
      <c r="K12" s="22"/>
      <c r="L12" s="22"/>
    </row>
    <row r="13" spans="1:12">
      <c r="A13" s="22"/>
      <c r="B13" s="628">
        <v>8</v>
      </c>
      <c r="C13" s="627">
        <v>5.0000000000000001E-3</v>
      </c>
      <c r="D13" s="1493">
        <v>250</v>
      </c>
      <c r="E13" s="22"/>
      <c r="F13" s="22"/>
      <c r="G13" s="22"/>
      <c r="H13" s="22"/>
      <c r="I13" s="22"/>
      <c r="J13" s="22"/>
      <c r="K13" s="22"/>
      <c r="L13" s="22"/>
    </row>
    <row r="14" spans="1:12">
      <c r="A14" s="22"/>
      <c r="B14" s="628">
        <v>9</v>
      </c>
      <c r="C14" s="627">
        <v>1.0999999999999999E-2</v>
      </c>
      <c r="D14" s="1493">
        <v>200</v>
      </c>
      <c r="E14" s="22"/>
      <c r="F14" s="22"/>
      <c r="G14" s="22"/>
      <c r="H14" s="22"/>
      <c r="I14" s="22"/>
      <c r="J14" s="22"/>
      <c r="K14" s="22"/>
      <c r="L14" s="22"/>
    </row>
    <row r="15" spans="1:12">
      <c r="A15" s="22"/>
      <c r="B15" s="628">
        <v>10</v>
      </c>
      <c r="C15" s="627">
        <v>1.2E-2</v>
      </c>
      <c r="D15" s="1493">
        <v>100</v>
      </c>
      <c r="E15" s="22"/>
      <c r="F15" s="22"/>
      <c r="G15" s="22"/>
      <c r="H15" s="22"/>
      <c r="I15" s="22"/>
      <c r="J15" s="22"/>
      <c r="K15" s="22"/>
      <c r="L15" s="22"/>
    </row>
    <row r="16" spans="1:12">
      <c r="A16" s="22"/>
      <c r="B16" s="22"/>
      <c r="C16" s="22"/>
      <c r="D16" s="22"/>
      <c r="E16" s="22"/>
      <c r="F16" s="22"/>
      <c r="G16" s="22"/>
      <c r="H16" s="22"/>
      <c r="I16" s="22"/>
      <c r="J16" s="22"/>
      <c r="K16" s="22"/>
      <c r="L16" s="22"/>
    </row>
    <row r="17" spans="1:18">
      <c r="A17" s="418"/>
      <c r="B17" s="418"/>
      <c r="C17" s="418"/>
      <c r="D17" s="418"/>
      <c r="E17" s="418"/>
      <c r="F17" s="418"/>
      <c r="G17" s="418"/>
      <c r="H17" s="418"/>
      <c r="I17" s="418"/>
      <c r="J17" s="418"/>
      <c r="K17" s="418"/>
      <c r="L17" s="418"/>
    </row>
    <row r="18" spans="1:18">
      <c r="A18" s="577" t="s">
        <v>80</v>
      </c>
      <c r="B18" s="22" t="s">
        <v>2600</v>
      </c>
      <c r="C18" s="22"/>
      <c r="D18" s="22"/>
      <c r="E18" s="22"/>
      <c r="F18" s="22"/>
      <c r="G18" s="22"/>
      <c r="H18" s="22"/>
      <c r="I18" s="22"/>
      <c r="J18" s="22"/>
      <c r="K18" s="22"/>
      <c r="L18" s="22"/>
      <c r="M18" s="328"/>
      <c r="N18" s="328"/>
      <c r="O18" s="328"/>
      <c r="P18" s="328"/>
      <c r="Q18" s="328"/>
      <c r="R18" s="328"/>
    </row>
    <row r="19" spans="1:18">
      <c r="A19" s="2"/>
      <c r="B19" s="2"/>
      <c r="C19" s="2"/>
      <c r="D19" s="2"/>
      <c r="E19" s="2"/>
      <c r="F19" s="2"/>
      <c r="G19" s="22"/>
      <c r="H19" s="22"/>
      <c r="I19" s="22"/>
      <c r="J19" s="22"/>
      <c r="K19" s="22"/>
      <c r="L19" s="22"/>
    </row>
    <row r="20" spans="1:18">
      <c r="A20" s="37"/>
      <c r="B20" s="37"/>
      <c r="C20" s="37"/>
      <c r="D20" s="37"/>
      <c r="E20" s="37"/>
      <c r="F20" s="37"/>
      <c r="G20" s="37"/>
      <c r="H20" s="37"/>
      <c r="I20" s="37"/>
      <c r="J20" s="37"/>
      <c r="K20" s="37"/>
      <c r="L20" s="37"/>
      <c r="M20" s="37"/>
    </row>
    <row r="21" spans="1:18">
      <c r="A21" s="37" t="s">
        <v>650</v>
      </c>
      <c r="B21" s="37"/>
      <c r="C21" s="37"/>
      <c r="D21" s="37"/>
      <c r="E21" s="37"/>
      <c r="F21" s="37"/>
      <c r="G21" s="37"/>
      <c r="H21" s="37"/>
      <c r="I21" s="37"/>
      <c r="J21" s="37"/>
      <c r="K21" s="37"/>
      <c r="L21" s="37"/>
      <c r="M21" s="37"/>
      <c r="N21" s="328"/>
    </row>
    <row r="22" spans="1:18">
      <c r="A22" s="37"/>
      <c r="B22" s="37" t="s">
        <v>2599</v>
      </c>
      <c r="C22" s="642">
        <f>SUMPRODUCT(C6:C15,D6:D15)</f>
        <v>8.7849999999999984</v>
      </c>
      <c r="D22" s="37"/>
      <c r="E22" s="37"/>
      <c r="F22" s="37"/>
      <c r="G22" s="37"/>
      <c r="H22" s="37"/>
      <c r="I22" s="37"/>
      <c r="J22" s="37"/>
      <c r="K22" s="37"/>
      <c r="L22" s="37"/>
      <c r="M22" s="37"/>
      <c r="N22" s="328"/>
    </row>
    <row r="23" spans="1:18">
      <c r="M23" s="328"/>
      <c r="N23" s="328"/>
    </row>
    <row r="24" spans="1:18">
      <c r="A24" s="2"/>
      <c r="B24" s="2"/>
      <c r="C24" s="2"/>
      <c r="D24" s="2"/>
      <c r="E24" s="2"/>
      <c r="F24" s="2"/>
      <c r="G24" s="22"/>
      <c r="H24" s="22"/>
      <c r="I24" s="22"/>
      <c r="J24" s="22"/>
      <c r="K24" s="22"/>
      <c r="L24" s="22"/>
      <c r="M24" s="328"/>
      <c r="N24" s="328"/>
    </row>
    <row r="25" spans="1:18">
      <c r="A25" s="376" t="s">
        <v>915</v>
      </c>
      <c r="B25" s="22"/>
      <c r="C25" s="22"/>
      <c r="D25" s="22"/>
      <c r="E25" s="22"/>
      <c r="F25" s="22"/>
      <c r="G25" s="22"/>
      <c r="H25" s="22"/>
      <c r="I25" s="22"/>
      <c r="J25" s="22"/>
      <c r="K25" s="22"/>
      <c r="L25" s="22"/>
      <c r="M25" s="328"/>
      <c r="N25" s="328"/>
    </row>
    <row r="26" spans="1:18">
      <c r="A26" s="22"/>
      <c r="B26" s="659" t="s">
        <v>2598</v>
      </c>
      <c r="C26" s="22"/>
      <c r="D26" s="22"/>
      <c r="E26" s="654">
        <v>0.25</v>
      </c>
      <c r="F26" s="22"/>
      <c r="G26" s="22"/>
      <c r="H26" s="22"/>
      <c r="I26" s="22"/>
      <c r="J26" s="22"/>
      <c r="K26" s="22"/>
      <c r="L26" s="22"/>
      <c r="M26" s="328"/>
      <c r="N26" s="328"/>
    </row>
    <row r="27" spans="1:18">
      <c r="A27" s="22"/>
      <c r="B27" s="659" t="s">
        <v>2597</v>
      </c>
      <c r="C27" s="22"/>
      <c r="D27" s="22"/>
      <c r="E27" s="1492">
        <v>200000</v>
      </c>
      <c r="F27" s="22"/>
      <c r="G27" s="22"/>
      <c r="H27" s="22"/>
      <c r="I27" s="22"/>
      <c r="J27" s="22"/>
      <c r="K27" s="22"/>
      <c r="L27" s="22"/>
      <c r="M27" s="328"/>
      <c r="N27" s="328"/>
    </row>
    <row r="28" spans="1:18">
      <c r="A28" s="2"/>
      <c r="B28" s="2"/>
      <c r="C28" s="2"/>
      <c r="D28" s="2"/>
      <c r="E28" s="2"/>
      <c r="F28" s="2"/>
      <c r="G28" s="22"/>
      <c r="H28" s="22"/>
      <c r="I28" s="22"/>
      <c r="J28" s="22"/>
      <c r="K28" s="22"/>
      <c r="L28" s="22"/>
      <c r="M28" s="328"/>
      <c r="N28" s="328"/>
    </row>
    <row r="29" spans="1:18">
      <c r="A29" s="2"/>
      <c r="B29" s="2"/>
      <c r="C29" s="2"/>
      <c r="D29" s="2"/>
      <c r="E29" s="2"/>
      <c r="F29" s="2"/>
      <c r="G29" s="2"/>
      <c r="H29" s="2"/>
      <c r="I29" s="2"/>
      <c r="J29" s="2"/>
      <c r="K29" s="2"/>
      <c r="L29" s="2"/>
    </row>
    <row r="30" spans="1:18">
      <c r="A30" s="577" t="s">
        <v>9</v>
      </c>
      <c r="B30" s="1724" t="s">
        <v>2596</v>
      </c>
      <c r="C30" s="1724"/>
      <c r="D30" s="1724"/>
      <c r="E30" s="1724"/>
      <c r="F30" s="1724"/>
      <c r="G30" s="1724"/>
      <c r="H30" s="1724"/>
      <c r="I30" s="1724"/>
      <c r="J30" s="1724"/>
      <c r="K30" s="1724"/>
      <c r="L30" s="22"/>
    </row>
    <row r="31" spans="1:18">
      <c r="A31" s="577"/>
      <c r="B31" s="1724"/>
      <c r="C31" s="1724"/>
      <c r="D31" s="1724"/>
      <c r="E31" s="1724"/>
      <c r="F31" s="1724"/>
      <c r="G31" s="1724"/>
      <c r="H31" s="1724"/>
      <c r="I31" s="1724"/>
      <c r="J31" s="1724"/>
      <c r="K31" s="1724"/>
      <c r="L31" s="22"/>
    </row>
    <row r="32" spans="1:18">
      <c r="A32" s="2"/>
      <c r="B32" s="2"/>
      <c r="C32" s="2"/>
      <c r="D32" s="2"/>
      <c r="E32" s="2"/>
      <c r="F32" s="2"/>
      <c r="G32" s="22"/>
      <c r="H32" s="22"/>
      <c r="I32" s="22"/>
      <c r="J32" s="22"/>
      <c r="K32" s="22"/>
      <c r="L32" s="22"/>
    </row>
    <row r="33" spans="1:13">
      <c r="A33" s="37"/>
      <c r="B33" s="37"/>
      <c r="C33" s="37"/>
      <c r="D33" s="37"/>
      <c r="E33" s="37"/>
      <c r="F33" s="37"/>
      <c r="G33" s="37"/>
      <c r="H33" s="37"/>
      <c r="I33" s="37"/>
      <c r="J33" s="37"/>
      <c r="K33" s="37"/>
      <c r="L33" s="37"/>
    </row>
    <row r="34" spans="1:13">
      <c r="A34" s="37" t="s">
        <v>650</v>
      </c>
      <c r="B34" s="37"/>
      <c r="C34" s="37"/>
      <c r="D34" s="37"/>
      <c r="E34" s="37"/>
      <c r="F34" s="37"/>
      <c r="G34" s="37"/>
      <c r="H34" s="37"/>
      <c r="I34" s="37"/>
      <c r="J34" s="37"/>
      <c r="K34" s="37"/>
      <c r="L34" s="37"/>
    </row>
    <row r="35" spans="1:13">
      <c r="A35" s="37"/>
      <c r="B35" s="565" t="s">
        <v>2595</v>
      </c>
      <c r="C35" s="1491" t="s">
        <v>2594</v>
      </c>
      <c r="D35" s="858" t="s">
        <v>2593</v>
      </c>
      <c r="E35" s="37"/>
      <c r="F35" s="37"/>
      <c r="G35" s="37"/>
      <c r="H35" s="37"/>
      <c r="I35" s="37"/>
      <c r="J35" s="37"/>
      <c r="K35" s="37"/>
      <c r="L35" s="37"/>
    </row>
    <row r="36" spans="1:13">
      <c r="A36" s="37"/>
      <c r="B36" s="632">
        <v>1</v>
      </c>
      <c r="C36" s="926">
        <f t="shared" ref="C36:C45" si="0">C6*D6^2</f>
        <v>25</v>
      </c>
      <c r="D36" s="926">
        <f t="shared" ref="D36:D45" si="1">C36-$C$22^2</f>
        <v>-52.176224999999974</v>
      </c>
      <c r="E36" s="37"/>
      <c r="F36" s="37"/>
      <c r="G36" s="37"/>
      <c r="H36" s="37"/>
      <c r="I36" s="37"/>
      <c r="J36" s="37"/>
      <c r="K36" s="37"/>
      <c r="L36" s="37"/>
    </row>
    <row r="37" spans="1:13">
      <c r="B37" s="632">
        <v>2</v>
      </c>
      <c r="C37" s="926">
        <f t="shared" si="0"/>
        <v>20</v>
      </c>
      <c r="D37" s="926">
        <f t="shared" si="1"/>
        <v>-57.176224999999974</v>
      </c>
      <c r="E37" s="37"/>
      <c r="M37" s="37"/>
    </row>
    <row r="38" spans="1:13">
      <c r="B38" s="632">
        <v>3</v>
      </c>
      <c r="C38" s="926">
        <f t="shared" si="0"/>
        <v>62.5</v>
      </c>
      <c r="D38" s="926">
        <f t="shared" si="1"/>
        <v>-14.676224999999974</v>
      </c>
      <c r="E38" s="37"/>
      <c r="M38" s="37"/>
    </row>
    <row r="39" spans="1:13">
      <c r="B39" s="632">
        <v>4</v>
      </c>
      <c r="C39" s="926">
        <f t="shared" si="0"/>
        <v>135</v>
      </c>
      <c r="D39" s="926">
        <f t="shared" si="1"/>
        <v>57.823775000000026</v>
      </c>
      <c r="E39" s="37"/>
      <c r="M39" s="37"/>
    </row>
    <row r="40" spans="1:13">
      <c r="B40" s="632">
        <v>5</v>
      </c>
      <c r="C40" s="926">
        <f t="shared" si="0"/>
        <v>0.5625</v>
      </c>
      <c r="D40" s="926">
        <f t="shared" si="1"/>
        <v>-76.613724999999974</v>
      </c>
      <c r="E40" s="37"/>
      <c r="M40" s="37"/>
    </row>
    <row r="41" spans="1:13">
      <c r="B41" s="632">
        <v>6</v>
      </c>
      <c r="C41" s="926">
        <f t="shared" si="0"/>
        <v>200</v>
      </c>
      <c r="D41" s="926">
        <f t="shared" si="1"/>
        <v>122.82377500000003</v>
      </c>
      <c r="E41" s="37"/>
      <c r="M41" s="37"/>
    </row>
    <row r="42" spans="1:13">
      <c r="B42" s="632">
        <v>7</v>
      </c>
      <c r="C42" s="926">
        <f t="shared" si="0"/>
        <v>227.81249999999997</v>
      </c>
      <c r="D42" s="926">
        <f t="shared" si="1"/>
        <v>150.63627500000001</v>
      </c>
      <c r="E42" s="37"/>
      <c r="M42" s="37"/>
    </row>
    <row r="43" spans="1:13">
      <c r="B43" s="632">
        <v>8</v>
      </c>
      <c r="C43" s="926">
        <f t="shared" si="0"/>
        <v>312.5</v>
      </c>
      <c r="D43" s="926">
        <f t="shared" si="1"/>
        <v>235.32377500000001</v>
      </c>
      <c r="E43" s="37"/>
      <c r="M43" s="37"/>
    </row>
    <row r="44" spans="1:13">
      <c r="B44" s="632">
        <v>9</v>
      </c>
      <c r="C44" s="926">
        <f t="shared" si="0"/>
        <v>440</v>
      </c>
      <c r="D44" s="926">
        <f t="shared" si="1"/>
        <v>362.82377500000001</v>
      </c>
      <c r="E44" s="37"/>
      <c r="M44" s="37"/>
    </row>
    <row r="45" spans="1:13">
      <c r="B45" s="631">
        <v>10</v>
      </c>
      <c r="C45" s="922">
        <f t="shared" si="0"/>
        <v>120</v>
      </c>
      <c r="D45" s="922">
        <f t="shared" si="1"/>
        <v>42.823775000000026</v>
      </c>
      <c r="E45" s="37"/>
      <c r="M45" s="37"/>
    </row>
    <row r="46" spans="1:13">
      <c r="B46" s="327" t="s">
        <v>98</v>
      </c>
      <c r="C46" s="926"/>
      <c r="D46" s="926">
        <f>SUM(D36:D45)</f>
        <v>771.61275000000023</v>
      </c>
      <c r="E46" s="37"/>
      <c r="M46" s="37"/>
    </row>
    <row r="47" spans="1:13">
      <c r="B47" s="37"/>
      <c r="C47" s="1490" t="s">
        <v>2592</v>
      </c>
      <c r="D47" s="926">
        <f>D46^0.5</f>
        <v>27.77791838853301</v>
      </c>
      <c r="E47" s="37"/>
    </row>
    <row r="48" spans="1:13">
      <c r="B48" s="37"/>
      <c r="C48" s="37"/>
      <c r="D48" s="37"/>
      <c r="E48" s="37"/>
    </row>
    <row r="49" spans="1:12">
      <c r="B49" s="1" t="s">
        <v>2528</v>
      </c>
      <c r="E49" s="1489">
        <f>(C22+D47)/(1-E26)-(C22+D47)</f>
        <v>12.187639462844338</v>
      </c>
    </row>
    <row r="50" spans="1:12">
      <c r="B50" s="1" t="s">
        <v>2591</v>
      </c>
      <c r="E50" s="1489">
        <f>C22+D47+E49</f>
        <v>48.750557851377344</v>
      </c>
    </row>
    <row r="51" spans="1:12">
      <c r="B51" s="1" t="s">
        <v>2590</v>
      </c>
      <c r="E51" s="1488">
        <f>E50*E27/1000</f>
        <v>9750.1115702754687</v>
      </c>
    </row>
    <row r="53" spans="1:12">
      <c r="A53" s="2"/>
      <c r="B53" s="2"/>
      <c r="C53" s="2"/>
      <c r="D53" s="2"/>
      <c r="E53" s="2"/>
      <c r="F53" s="2"/>
      <c r="G53" s="22"/>
      <c r="H53" s="22"/>
      <c r="I53" s="22"/>
      <c r="J53" s="22"/>
      <c r="K53" s="22"/>
      <c r="L53" s="22"/>
    </row>
    <row r="54" spans="1:12">
      <c r="A54" s="376" t="s">
        <v>2589</v>
      </c>
      <c r="B54" s="2"/>
      <c r="C54" s="2"/>
      <c r="D54" s="2"/>
      <c r="E54" s="2"/>
      <c r="F54" s="2"/>
      <c r="G54" s="22"/>
      <c r="H54" s="22"/>
      <c r="I54" s="22"/>
      <c r="J54" s="22"/>
      <c r="K54" s="22"/>
      <c r="L54" s="22"/>
    </row>
    <row r="55" spans="1:12">
      <c r="A55" s="2"/>
      <c r="B55" s="2"/>
      <c r="C55" s="2"/>
      <c r="D55" s="2"/>
      <c r="E55" s="2"/>
      <c r="F55" s="2"/>
      <c r="G55" s="22"/>
      <c r="H55" s="22"/>
      <c r="I55" s="22"/>
      <c r="J55" s="22"/>
      <c r="K55" s="22"/>
      <c r="L55" s="22"/>
    </row>
    <row r="56" spans="1:12">
      <c r="A56" s="2"/>
      <c r="B56" s="2"/>
      <c r="C56" s="2"/>
      <c r="D56" s="2"/>
      <c r="E56" s="2"/>
      <c r="F56" s="2"/>
      <c r="G56" s="2"/>
      <c r="H56" s="2"/>
      <c r="I56" s="2"/>
      <c r="J56" s="2"/>
      <c r="K56" s="2"/>
      <c r="L56" s="2"/>
    </row>
    <row r="57" spans="1:12">
      <c r="A57" s="577" t="s">
        <v>7</v>
      </c>
      <c r="B57" s="22" t="s">
        <v>2588</v>
      </c>
      <c r="C57" s="22"/>
      <c r="D57" s="22"/>
      <c r="E57" s="22"/>
      <c r="F57" s="22"/>
      <c r="G57" s="22"/>
      <c r="H57" s="22"/>
      <c r="I57" s="22"/>
      <c r="J57" s="22"/>
      <c r="K57" s="22"/>
      <c r="L57" s="22"/>
    </row>
    <row r="58" spans="1:12">
      <c r="A58" s="2"/>
      <c r="B58" s="2"/>
      <c r="C58" s="2"/>
      <c r="D58" s="2"/>
      <c r="E58" s="2"/>
      <c r="F58" s="2"/>
      <c r="G58" s="22"/>
      <c r="H58" s="22"/>
      <c r="I58" s="22"/>
      <c r="J58" s="22"/>
      <c r="K58" s="22"/>
      <c r="L58" s="22"/>
    </row>
    <row r="59" spans="1:12">
      <c r="A59" s="37"/>
      <c r="B59" s="37"/>
      <c r="C59" s="37"/>
      <c r="D59" s="37"/>
      <c r="E59" s="37"/>
      <c r="F59" s="37"/>
      <c r="G59" s="37"/>
      <c r="H59" s="37"/>
      <c r="I59" s="37"/>
      <c r="J59" s="37"/>
      <c r="K59" s="37"/>
      <c r="L59" s="37"/>
    </row>
    <row r="60" spans="1:12">
      <c r="A60" s="37" t="s">
        <v>650</v>
      </c>
      <c r="B60" s="37"/>
      <c r="C60" s="37"/>
      <c r="D60" s="37"/>
      <c r="E60" s="37"/>
      <c r="F60" s="37"/>
      <c r="G60" s="37"/>
      <c r="H60" s="37"/>
      <c r="I60" s="37"/>
      <c r="J60" s="37"/>
      <c r="K60" s="37"/>
      <c r="L60" s="37"/>
    </row>
    <row r="61" spans="1:12">
      <c r="A61" s="37"/>
      <c r="B61" s="37"/>
      <c r="C61" s="37"/>
      <c r="D61" s="37"/>
      <c r="E61" s="37"/>
      <c r="F61" s="37"/>
      <c r="G61" s="37"/>
      <c r="H61" s="37"/>
      <c r="I61" s="37"/>
      <c r="J61" s="37"/>
      <c r="K61" s="37"/>
      <c r="L61" s="37"/>
    </row>
    <row r="62" spans="1:12">
      <c r="A62" s="37" t="s">
        <v>2587</v>
      </c>
      <c r="B62" s="37"/>
      <c r="C62" s="37"/>
      <c r="D62" s="37"/>
      <c r="E62" s="37"/>
      <c r="F62" s="37"/>
      <c r="G62" s="37"/>
      <c r="H62" s="37"/>
      <c r="I62" s="37"/>
      <c r="J62" s="37"/>
      <c r="K62" s="37"/>
      <c r="L62" s="37"/>
    </row>
    <row r="63" spans="1:12">
      <c r="A63" s="37" t="s">
        <v>2586</v>
      </c>
    </row>
    <row r="65" spans="1:12">
      <c r="A65" s="2"/>
      <c r="B65" s="2"/>
      <c r="C65" s="2"/>
      <c r="D65" s="2"/>
      <c r="E65" s="2"/>
      <c r="F65" s="2"/>
      <c r="G65" s="22"/>
      <c r="H65" s="22"/>
      <c r="I65" s="22"/>
      <c r="J65" s="22"/>
      <c r="K65" s="22"/>
      <c r="L65" s="22"/>
    </row>
    <row r="66" spans="1:12">
      <c r="A66" s="376" t="s">
        <v>2585</v>
      </c>
      <c r="B66" s="325"/>
      <c r="C66" s="325"/>
      <c r="D66" s="22"/>
      <c r="E66" s="22"/>
      <c r="F66" s="2"/>
      <c r="G66" s="22"/>
      <c r="H66" s="22"/>
      <c r="I66" s="22"/>
      <c r="J66" s="22"/>
      <c r="K66" s="22"/>
      <c r="L66" s="22"/>
    </row>
    <row r="67" spans="1:12">
      <c r="A67" s="376"/>
      <c r="B67" s="325"/>
      <c r="C67" s="325"/>
      <c r="D67" s="22"/>
      <c r="E67" s="22"/>
      <c r="F67" s="2"/>
      <c r="G67" s="22"/>
      <c r="H67" s="22"/>
      <c r="I67" s="22"/>
      <c r="J67" s="22"/>
      <c r="K67" s="22"/>
      <c r="L67" s="22"/>
    </row>
    <row r="68" spans="1:12">
      <c r="A68" s="22"/>
      <c r="B68" s="334" t="s">
        <v>2582</v>
      </c>
      <c r="C68" s="332" t="s">
        <v>2543</v>
      </c>
      <c r="D68" s="332" t="s">
        <v>2584</v>
      </c>
      <c r="E68" s="22"/>
      <c r="F68" s="22"/>
      <c r="G68" s="22"/>
      <c r="H68" s="22"/>
      <c r="I68" s="22"/>
      <c r="J68" s="22"/>
      <c r="K68" s="22"/>
      <c r="L68" s="22"/>
    </row>
    <row r="69" spans="1:12">
      <c r="A69" s="22"/>
      <c r="B69" s="628" t="s">
        <v>1231</v>
      </c>
      <c r="C69" s="1487">
        <v>22.86</v>
      </c>
      <c r="D69" s="1487">
        <v>2426.1</v>
      </c>
      <c r="E69" s="22"/>
      <c r="F69" s="22"/>
      <c r="G69" s="22"/>
      <c r="H69" s="22"/>
      <c r="I69" s="22"/>
      <c r="J69" s="22"/>
      <c r="K69" s="22"/>
      <c r="L69" s="22"/>
    </row>
    <row r="70" spans="1:12">
      <c r="A70" s="22"/>
      <c r="B70" s="628" t="s">
        <v>1230</v>
      </c>
      <c r="C70" s="1487">
        <v>26.16</v>
      </c>
      <c r="D70" s="1487">
        <v>2025.55</v>
      </c>
      <c r="E70" s="22"/>
      <c r="F70" s="22"/>
      <c r="G70" s="22"/>
      <c r="H70" s="22"/>
      <c r="I70" s="22"/>
      <c r="J70" s="22"/>
      <c r="K70" s="22"/>
      <c r="L70" s="22"/>
    </row>
    <row r="71" spans="1:12">
      <c r="A71" s="2"/>
      <c r="B71" s="2"/>
      <c r="C71" s="2"/>
      <c r="D71" s="2"/>
      <c r="E71" s="2"/>
      <c r="F71" s="2"/>
      <c r="G71" s="22"/>
      <c r="H71" s="22"/>
      <c r="I71" s="22"/>
      <c r="J71" s="22"/>
      <c r="K71" s="22"/>
      <c r="L71" s="22"/>
    </row>
    <row r="72" spans="1:12">
      <c r="A72" s="2"/>
      <c r="B72" s="2"/>
      <c r="C72" s="2"/>
      <c r="D72" s="2"/>
      <c r="E72" s="2"/>
      <c r="F72" s="2"/>
      <c r="G72" s="2"/>
      <c r="H72" s="2"/>
      <c r="I72" s="2"/>
      <c r="J72" s="2"/>
      <c r="K72" s="2"/>
      <c r="L72" s="2"/>
    </row>
    <row r="73" spans="1:12">
      <c r="A73" s="577" t="s">
        <v>4</v>
      </c>
      <c r="B73" s="22" t="s">
        <v>2583</v>
      </c>
      <c r="C73" s="22"/>
      <c r="D73" s="22"/>
      <c r="E73" s="22"/>
      <c r="F73" s="22"/>
      <c r="G73" s="22"/>
      <c r="H73" s="22"/>
      <c r="I73" s="22"/>
      <c r="J73" s="22"/>
      <c r="K73" s="22"/>
      <c r="L73" s="22"/>
    </row>
    <row r="74" spans="1:12">
      <c r="A74" s="2"/>
      <c r="B74" s="2"/>
      <c r="C74" s="2"/>
      <c r="D74" s="2"/>
      <c r="E74" s="2"/>
      <c r="F74" s="2"/>
      <c r="G74" s="22"/>
      <c r="H74" s="22"/>
      <c r="I74" s="22"/>
      <c r="J74" s="22"/>
      <c r="K74" s="22"/>
      <c r="L74" s="22"/>
    </row>
    <row r="75" spans="1:12">
      <c r="A75" s="37"/>
      <c r="B75" s="37"/>
      <c r="C75" s="37"/>
      <c r="D75" s="37"/>
      <c r="E75" s="37"/>
      <c r="F75" s="37"/>
      <c r="G75" s="37"/>
      <c r="H75" s="37"/>
      <c r="I75" s="37"/>
      <c r="J75" s="37"/>
      <c r="K75" s="37"/>
      <c r="L75" s="37"/>
    </row>
    <row r="76" spans="1:12">
      <c r="A76" s="37" t="s">
        <v>650</v>
      </c>
      <c r="B76" s="37"/>
      <c r="C76" s="37"/>
      <c r="D76" s="37"/>
      <c r="E76" s="37"/>
      <c r="F76" s="37"/>
      <c r="G76" s="37"/>
      <c r="H76" s="37"/>
      <c r="I76" s="37"/>
      <c r="J76" s="37"/>
      <c r="K76" s="37"/>
      <c r="L76" s="37"/>
    </row>
    <row r="77" spans="1:12">
      <c r="A77" s="37"/>
      <c r="B77" s="603" t="s">
        <v>2582</v>
      </c>
      <c r="C77" s="1486" t="s">
        <v>2581</v>
      </c>
      <c r="E77" s="37"/>
      <c r="F77" s="37"/>
      <c r="G77" s="37"/>
      <c r="H77" s="37"/>
      <c r="I77" s="37"/>
      <c r="J77" s="37"/>
      <c r="K77" s="37"/>
      <c r="L77" s="37"/>
    </row>
    <row r="78" spans="1:12">
      <c r="A78" s="37"/>
      <c r="B78" s="277" t="s">
        <v>1231</v>
      </c>
      <c r="C78" s="972">
        <f>D69/C69</f>
        <v>106.12860892388451</v>
      </c>
      <c r="D78" s="972"/>
      <c r="E78" s="37"/>
      <c r="F78" s="37"/>
      <c r="G78" s="37"/>
      <c r="H78" s="37"/>
      <c r="I78" s="37"/>
      <c r="J78" s="37"/>
      <c r="K78" s="37"/>
      <c r="L78" s="37"/>
    </row>
    <row r="79" spans="1:12">
      <c r="B79" s="277" t="s">
        <v>1230</v>
      </c>
      <c r="C79" s="972">
        <f>D70/C70</f>
        <v>77.429281345565741</v>
      </c>
      <c r="D79" s="972">
        <f>C78/C79</f>
        <v>1.3706521238423239</v>
      </c>
    </row>
    <row r="81" spans="1:13">
      <c r="A81" s="1" t="s">
        <v>2580</v>
      </c>
      <c r="M81" s="37"/>
    </row>
    <row r="82" spans="1:13">
      <c r="M82" s="37"/>
    </row>
  </sheetData>
  <mergeCells count="1">
    <mergeCell ref="B30:K31"/>
  </mergeCells>
  <pageMargins left="0.7" right="0.7" top="0.75" bottom="0.75" header="0.3" footer="0.3"/>
  <pageSetup orientation="portrait"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B33B8-72AF-4A67-B3D3-DA023F95825B}">
  <dimension ref="A1:Q51"/>
  <sheetViews>
    <sheetView zoomScaleNormal="100" workbookViewId="0"/>
  </sheetViews>
  <sheetFormatPr defaultColWidth="9.109375" defaultRowHeight="15.6"/>
  <cols>
    <col min="1" max="4" width="11.5546875" style="1" customWidth="1"/>
    <col min="5" max="6" width="15.6640625" style="1" bestFit="1" customWidth="1"/>
    <col min="7" max="8" width="14.5546875" style="1" bestFit="1" customWidth="1"/>
    <col min="9" max="9" width="13.88671875" style="1" customWidth="1"/>
    <col min="10" max="10" width="15" style="1" customWidth="1"/>
    <col min="11" max="11" width="12.33203125" style="1" customWidth="1"/>
    <col min="12" max="12" width="13" style="1" customWidth="1"/>
    <col min="13" max="13" width="14.6640625" style="1" customWidth="1"/>
    <col min="14" max="14" width="13.109375" style="1" customWidth="1"/>
    <col min="15" max="16384" width="9.109375" style="1"/>
  </cols>
  <sheetData>
    <row r="1" spans="1:17" ht="17.399999999999999">
      <c r="A1" s="23" t="s">
        <v>1201</v>
      </c>
      <c r="B1" s="22"/>
      <c r="C1" s="22"/>
      <c r="D1" s="22"/>
      <c r="E1" s="22"/>
      <c r="F1" s="22"/>
      <c r="G1" s="22"/>
      <c r="H1" s="22"/>
      <c r="I1" s="22"/>
      <c r="J1" s="22"/>
      <c r="K1" s="22"/>
      <c r="L1" s="2"/>
    </row>
    <row r="2" spans="1:17">
      <c r="A2" s="3" t="s">
        <v>2633</v>
      </c>
      <c r="B2" s="3"/>
      <c r="C2" s="3"/>
      <c r="D2" s="3"/>
      <c r="E2" s="3"/>
      <c r="F2" s="3"/>
      <c r="G2" s="3"/>
      <c r="H2" s="3"/>
      <c r="I2" s="3"/>
      <c r="J2" s="3"/>
      <c r="K2" s="3"/>
      <c r="L2" s="3"/>
      <c r="M2" s="187"/>
      <c r="N2" s="187"/>
      <c r="O2" s="187"/>
      <c r="P2" s="187"/>
      <c r="Q2" s="187"/>
    </row>
    <row r="3" spans="1:17">
      <c r="A3" s="3"/>
      <c r="B3" s="3"/>
      <c r="C3" s="3"/>
      <c r="D3" s="3"/>
      <c r="E3" s="3"/>
      <c r="F3" s="3"/>
      <c r="G3" s="3"/>
      <c r="H3" s="3"/>
      <c r="I3" s="3"/>
      <c r="J3" s="3"/>
      <c r="K3" s="3"/>
      <c r="L3" s="3"/>
      <c r="M3" s="187"/>
      <c r="N3" s="187"/>
      <c r="O3" s="187"/>
      <c r="P3" s="187"/>
      <c r="Q3" s="187"/>
    </row>
    <row r="4" spans="1:17">
      <c r="A4" s="3" t="s">
        <v>1254</v>
      </c>
      <c r="B4" s="3"/>
      <c r="C4" s="3"/>
      <c r="D4" s="3"/>
      <c r="E4" s="3"/>
      <c r="F4" s="3"/>
      <c r="G4" s="3"/>
      <c r="H4" s="3"/>
      <c r="I4" s="3"/>
      <c r="J4" s="3"/>
      <c r="K4" s="3"/>
      <c r="L4" s="3"/>
      <c r="M4" s="187"/>
      <c r="N4" s="187"/>
      <c r="O4" s="187"/>
      <c r="P4" s="187"/>
      <c r="Q4" s="187"/>
    </row>
    <row r="5" spans="1:17">
      <c r="A5" s="3"/>
      <c r="B5" s="3"/>
      <c r="C5" s="3"/>
      <c r="D5" s="3"/>
      <c r="E5" s="3"/>
      <c r="F5" s="3"/>
      <c r="G5" s="3"/>
      <c r="H5" s="3"/>
      <c r="I5" s="3"/>
      <c r="J5" s="3"/>
      <c r="K5" s="3"/>
      <c r="L5" s="3"/>
      <c r="M5" s="187"/>
      <c r="N5" s="187"/>
      <c r="O5" s="187"/>
      <c r="P5" s="187"/>
      <c r="Q5" s="187"/>
    </row>
    <row r="6" spans="1:17" ht="16.5" customHeight="1">
      <c r="A6" s="1783" t="s">
        <v>2632</v>
      </c>
      <c r="B6" s="1785"/>
      <c r="C6" s="1783" t="s">
        <v>2617</v>
      </c>
      <c r="D6" s="1785"/>
      <c r="E6" s="3"/>
      <c r="F6" s="3"/>
      <c r="G6" s="3"/>
      <c r="H6" s="3"/>
      <c r="I6" s="3"/>
      <c r="J6" s="3"/>
      <c r="K6" s="3"/>
      <c r="L6" s="3"/>
      <c r="M6" s="187"/>
      <c r="N6" s="187"/>
      <c r="O6" s="187"/>
      <c r="P6" s="187"/>
      <c r="Q6" s="187"/>
    </row>
    <row r="7" spans="1:17" ht="16.2">
      <c r="A7" s="1495" t="s">
        <v>2616</v>
      </c>
      <c r="B7" s="157" t="s">
        <v>2615</v>
      </c>
      <c r="C7" s="466" t="s">
        <v>988</v>
      </c>
      <c r="D7" s="466" t="s">
        <v>987</v>
      </c>
      <c r="E7" s="3"/>
      <c r="F7" s="3"/>
      <c r="G7" s="3"/>
      <c r="H7" s="3"/>
      <c r="I7" s="3"/>
      <c r="J7" s="3"/>
      <c r="K7" s="3"/>
      <c r="L7" s="3"/>
      <c r="M7" s="187"/>
      <c r="N7" s="187"/>
      <c r="O7" s="187"/>
      <c r="P7" s="187"/>
      <c r="Q7" s="187"/>
    </row>
    <row r="8" spans="1:17">
      <c r="A8" s="133">
        <v>1</v>
      </c>
      <c r="B8" s="1103">
        <v>0.01</v>
      </c>
      <c r="C8" s="492">
        <v>20000</v>
      </c>
      <c r="D8" s="492">
        <v>5000</v>
      </c>
      <c r="E8" s="3"/>
      <c r="F8" s="3"/>
      <c r="G8" s="3"/>
      <c r="H8" s="3"/>
      <c r="I8" s="3"/>
      <c r="J8" s="3"/>
      <c r="K8" s="3"/>
      <c r="L8" s="3"/>
      <c r="M8" s="187"/>
      <c r="N8" s="187"/>
      <c r="O8" s="187"/>
      <c r="P8" s="187"/>
      <c r="Q8" s="187"/>
    </row>
    <row r="9" spans="1:17">
      <c r="A9" s="133">
        <v>2</v>
      </c>
      <c r="B9" s="1103">
        <v>0.02</v>
      </c>
      <c r="C9" s="492">
        <v>10000</v>
      </c>
      <c r="D9" s="492">
        <v>8000</v>
      </c>
      <c r="E9" s="3"/>
      <c r="F9" s="3"/>
      <c r="G9" s="3"/>
      <c r="H9" s="3"/>
      <c r="I9" s="3"/>
      <c r="J9" s="3"/>
      <c r="K9" s="3"/>
      <c r="L9" s="3"/>
      <c r="M9" s="187"/>
      <c r="N9" s="187"/>
      <c r="O9" s="187"/>
      <c r="P9" s="187"/>
      <c r="Q9" s="187"/>
    </row>
    <row r="10" spans="1:17">
      <c r="A10" s="133">
        <v>3</v>
      </c>
      <c r="B10" s="1103">
        <v>0.04</v>
      </c>
      <c r="C10" s="492">
        <v>5000</v>
      </c>
      <c r="D10" s="492">
        <v>2000</v>
      </c>
      <c r="E10" s="3"/>
      <c r="F10" s="3"/>
      <c r="G10" s="3"/>
      <c r="H10" s="3"/>
      <c r="I10" s="3"/>
      <c r="J10" s="3"/>
      <c r="K10" s="3"/>
      <c r="L10" s="3"/>
      <c r="M10" s="187"/>
      <c r="N10" s="187"/>
      <c r="O10" s="187"/>
      <c r="P10" s="187"/>
      <c r="Q10" s="187"/>
    </row>
    <row r="11" spans="1:17">
      <c r="A11" s="3"/>
      <c r="B11" s="3"/>
      <c r="C11" s="3"/>
      <c r="D11" s="3"/>
      <c r="E11" s="3"/>
      <c r="F11" s="3"/>
      <c r="G11" s="3"/>
      <c r="H11" s="3"/>
      <c r="I11" s="3"/>
      <c r="J11" s="3"/>
      <c r="K11" s="3"/>
      <c r="L11" s="3"/>
      <c r="M11" s="187"/>
      <c r="N11" s="187"/>
      <c r="O11" s="187"/>
      <c r="P11" s="187"/>
      <c r="Q11" s="187"/>
    </row>
    <row r="12" spans="1:17">
      <c r="A12" s="1068" t="s">
        <v>2631</v>
      </c>
      <c r="B12" s="1068"/>
      <c r="C12" s="3"/>
      <c r="D12" s="3"/>
      <c r="E12" s="3"/>
      <c r="F12" s="3"/>
      <c r="G12" s="3"/>
      <c r="H12" s="3"/>
      <c r="I12" s="3"/>
      <c r="J12" s="3"/>
      <c r="K12" s="3"/>
      <c r="L12" s="3"/>
      <c r="M12" s="187"/>
      <c r="N12" s="187"/>
      <c r="O12" s="187"/>
      <c r="P12" s="187"/>
      <c r="Q12" s="187"/>
    </row>
    <row r="13" spans="1:17">
      <c r="A13" s="1068" t="s">
        <v>2630</v>
      </c>
      <c r="B13" s="1068"/>
      <c r="C13" s="3"/>
      <c r="D13" s="162">
        <v>2.4000000000000001E-5</v>
      </c>
      <c r="E13" s="3"/>
      <c r="F13" s="3"/>
      <c r="G13" s="3"/>
      <c r="H13" s="3"/>
      <c r="I13" s="3"/>
      <c r="J13" s="3"/>
      <c r="K13" s="3"/>
      <c r="L13" s="3"/>
      <c r="M13" s="187"/>
      <c r="N13" s="187"/>
      <c r="O13" s="187"/>
      <c r="P13" s="187"/>
      <c r="Q13" s="187"/>
    </row>
    <row r="14" spans="1:17">
      <c r="A14" s="3"/>
      <c r="B14" s="3"/>
      <c r="C14" s="3"/>
      <c r="D14" s="3"/>
      <c r="E14" s="3"/>
      <c r="F14" s="3"/>
      <c r="G14" s="3"/>
      <c r="H14" s="3"/>
      <c r="I14" s="3"/>
      <c r="J14" s="3"/>
      <c r="K14" s="3"/>
      <c r="L14" s="3"/>
      <c r="M14" s="187"/>
      <c r="N14" s="187"/>
      <c r="O14" s="187"/>
      <c r="P14" s="187"/>
      <c r="Q14" s="187"/>
    </row>
    <row r="15" spans="1:17">
      <c r="A15" s="47" t="s">
        <v>2629</v>
      </c>
      <c r="B15" s="3"/>
      <c r="C15" s="3"/>
      <c r="D15" s="3"/>
      <c r="E15" s="3"/>
      <c r="F15" s="3"/>
      <c r="G15" s="3"/>
      <c r="H15" s="3"/>
      <c r="I15" s="3"/>
      <c r="J15" s="3"/>
      <c r="K15" s="3"/>
      <c r="L15" s="3"/>
      <c r="M15" s="187"/>
      <c r="N15" s="187"/>
      <c r="O15" s="187"/>
      <c r="P15" s="187"/>
      <c r="Q15" s="187"/>
    </row>
    <row r="16" spans="1:17">
      <c r="A16" s="1" t="s">
        <v>50</v>
      </c>
    </row>
    <row r="17" spans="1:17">
      <c r="B17" s="9" t="s">
        <v>2618</v>
      </c>
      <c r="C17" s="9"/>
      <c r="D17" s="1687" t="s">
        <v>2617</v>
      </c>
      <c r="E17" s="1688"/>
      <c r="F17" s="9"/>
      <c r="G17" s="9"/>
      <c r="H17" s="9"/>
      <c r="I17" s="9"/>
    </row>
    <row r="18" spans="1:17">
      <c r="B18" s="36" t="s">
        <v>2616</v>
      </c>
      <c r="C18" s="36" t="s">
        <v>2615</v>
      </c>
      <c r="D18" s="36" t="s">
        <v>988</v>
      </c>
      <c r="E18" s="36" t="s">
        <v>987</v>
      </c>
      <c r="F18" s="36" t="s">
        <v>2614</v>
      </c>
      <c r="G18" s="36" t="s">
        <v>2613</v>
      </c>
      <c r="H18" s="36" t="s">
        <v>2612</v>
      </c>
      <c r="I18" s="36" t="s">
        <v>2611</v>
      </c>
    </row>
    <row r="19" spans="1:17">
      <c r="B19" s="9">
        <f t="shared" ref="B19:E21" si="0">A8</f>
        <v>1</v>
      </c>
      <c r="C19" s="1446">
        <f t="shared" si="0"/>
        <v>0.01</v>
      </c>
      <c r="D19" s="506">
        <f t="shared" si="0"/>
        <v>20000</v>
      </c>
      <c r="E19" s="506">
        <f t="shared" si="0"/>
        <v>5000</v>
      </c>
      <c r="F19" s="506">
        <f>SUM(D19:E19)</f>
        <v>25000</v>
      </c>
      <c r="G19" s="506">
        <f t="shared" ref="G19:I21" si="1">(D19^2)*($C19)*(1-$C19)</f>
        <v>3960000</v>
      </c>
      <c r="H19" s="506">
        <f t="shared" si="1"/>
        <v>247500</v>
      </c>
      <c r="I19" s="506">
        <f t="shared" si="1"/>
        <v>6187500</v>
      </c>
    </row>
    <row r="20" spans="1:17">
      <c r="B20" s="9">
        <f t="shared" si="0"/>
        <v>2</v>
      </c>
      <c r="C20" s="1446">
        <f t="shared" si="0"/>
        <v>0.02</v>
      </c>
      <c r="D20" s="506">
        <f t="shared" si="0"/>
        <v>10000</v>
      </c>
      <c r="E20" s="506">
        <f t="shared" si="0"/>
        <v>8000</v>
      </c>
      <c r="F20" s="506">
        <f>SUM(D20:E20)</f>
        <v>18000</v>
      </c>
      <c r="G20" s="506">
        <f t="shared" si="1"/>
        <v>1960000</v>
      </c>
      <c r="H20" s="506">
        <f t="shared" si="1"/>
        <v>1254400</v>
      </c>
      <c r="I20" s="506">
        <f t="shared" si="1"/>
        <v>6350400</v>
      </c>
    </row>
    <row r="21" spans="1:17">
      <c r="B21" s="9">
        <f t="shared" si="0"/>
        <v>3</v>
      </c>
      <c r="C21" s="1446">
        <f t="shared" si="0"/>
        <v>0.04</v>
      </c>
      <c r="D21" s="506">
        <f t="shared" si="0"/>
        <v>5000</v>
      </c>
      <c r="E21" s="506">
        <f t="shared" si="0"/>
        <v>2000</v>
      </c>
      <c r="F21" s="506">
        <f>SUM(D21:E21)</f>
        <v>7000</v>
      </c>
      <c r="G21" s="506">
        <f t="shared" si="1"/>
        <v>960000</v>
      </c>
      <c r="H21" s="506">
        <f t="shared" si="1"/>
        <v>153600</v>
      </c>
      <c r="I21" s="506">
        <f t="shared" si="1"/>
        <v>1881600</v>
      </c>
    </row>
    <row r="22" spans="1:17">
      <c r="B22" s="9" t="s">
        <v>98</v>
      </c>
      <c r="C22" s="9"/>
      <c r="D22" s="506"/>
      <c r="E22" s="506"/>
      <c r="F22" s="506"/>
      <c r="G22" s="506">
        <f>SUM(G19:G21)</f>
        <v>6880000</v>
      </c>
      <c r="H22" s="506">
        <f>SUM(H19:H21)</f>
        <v>1655500</v>
      </c>
      <c r="I22" s="506">
        <f>SUM(I19:I21)</f>
        <v>14419500</v>
      </c>
    </row>
    <row r="24" spans="1:17">
      <c r="B24" s="1" t="s">
        <v>2628</v>
      </c>
      <c r="E24" s="277" t="s">
        <v>988</v>
      </c>
      <c r="F24" s="277" t="s">
        <v>987</v>
      </c>
      <c r="G24" s="277"/>
      <c r="H24" s="277"/>
    </row>
    <row r="25" spans="1:17">
      <c r="B25" s="1" t="s">
        <v>2627</v>
      </c>
      <c r="E25" s="494">
        <f>I22</f>
        <v>14419500</v>
      </c>
      <c r="F25" s="494">
        <f>I22</f>
        <v>14419500</v>
      </c>
    </row>
    <row r="26" spans="1:17">
      <c r="B26" s="1" t="s">
        <v>2626</v>
      </c>
      <c r="E26" s="494">
        <f>H22</f>
        <v>1655500</v>
      </c>
      <c r="F26" s="494">
        <f>G22</f>
        <v>6880000</v>
      </c>
    </row>
    <row r="27" spans="1:17">
      <c r="B27" s="1" t="s">
        <v>2625</v>
      </c>
      <c r="E27" s="494">
        <f>E25-E26</f>
        <v>12764000</v>
      </c>
      <c r="F27" s="494">
        <f>F25-F26</f>
        <v>7539500</v>
      </c>
    </row>
    <row r="28" spans="1:17">
      <c r="B28" s="1" t="s">
        <v>2502</v>
      </c>
      <c r="C28" s="1" t="s">
        <v>2605</v>
      </c>
      <c r="E28" s="1494">
        <f>E27*$D$13</f>
        <v>306.33600000000001</v>
      </c>
      <c r="F28" s="1494">
        <f>F27*$D$13</f>
        <v>180.94800000000001</v>
      </c>
    </row>
    <row r="30" spans="1:17">
      <c r="A30" s="47" t="s">
        <v>2624</v>
      </c>
      <c r="B30" s="3"/>
      <c r="C30" s="3"/>
      <c r="D30" s="3"/>
      <c r="E30" s="3"/>
      <c r="F30" s="3"/>
      <c r="G30" s="3"/>
      <c r="H30" s="3"/>
      <c r="I30" s="3"/>
      <c r="J30" s="3"/>
      <c r="K30" s="3"/>
      <c r="L30" s="3"/>
      <c r="M30" s="187"/>
      <c r="N30" s="187"/>
      <c r="O30" s="187"/>
      <c r="P30" s="187"/>
      <c r="Q30" s="187"/>
    </row>
    <row r="31" spans="1:17">
      <c r="A31" s="1" t="s">
        <v>50</v>
      </c>
    </row>
    <row r="32" spans="1:17">
      <c r="E32" s="277" t="s">
        <v>988</v>
      </c>
      <c r="F32" s="277" t="s">
        <v>987</v>
      </c>
      <c r="G32" s="1" t="s">
        <v>2623</v>
      </c>
      <c r="H32" s="1" t="s">
        <v>2614</v>
      </c>
    </row>
    <row r="33" spans="1:17">
      <c r="B33" s="1" t="s">
        <v>2502</v>
      </c>
      <c r="C33" s="1" t="s">
        <v>2605</v>
      </c>
      <c r="E33" s="1106">
        <f>E28</f>
        <v>306.33600000000001</v>
      </c>
      <c r="F33" s="1106">
        <f>F28</f>
        <v>180.94800000000001</v>
      </c>
      <c r="G33" s="1106">
        <f>SUM(E33:F33)</f>
        <v>487.28399999999999</v>
      </c>
      <c r="H33" s="1106">
        <f>I22*D13</f>
        <v>346.06799999999998</v>
      </c>
    </row>
    <row r="35" spans="1:17">
      <c r="B35" s="1" t="s">
        <v>2622</v>
      </c>
    </row>
    <row r="37" spans="1:17">
      <c r="A37" s="3" t="s">
        <v>2621</v>
      </c>
      <c r="B37" s="3"/>
      <c r="C37" s="3"/>
      <c r="D37" s="3"/>
      <c r="E37" s="3"/>
      <c r="F37" s="3"/>
      <c r="G37" s="3"/>
      <c r="H37" s="3"/>
      <c r="I37" s="3"/>
      <c r="J37" s="3"/>
      <c r="K37" s="3"/>
      <c r="L37" s="3"/>
      <c r="M37" s="187"/>
      <c r="N37" s="187"/>
      <c r="O37" s="187"/>
      <c r="P37" s="187"/>
      <c r="Q37" s="187"/>
    </row>
    <row r="38" spans="1:17">
      <c r="A38" s="3" t="s">
        <v>2620</v>
      </c>
      <c r="B38" s="3"/>
      <c r="C38" s="3"/>
      <c r="D38" s="3"/>
      <c r="E38" s="3"/>
      <c r="F38" s="3"/>
      <c r="G38" s="3"/>
      <c r="H38" s="3"/>
      <c r="I38" s="3"/>
      <c r="J38" s="3"/>
      <c r="K38" s="3"/>
      <c r="L38" s="3"/>
      <c r="M38" s="187"/>
      <c r="N38" s="187"/>
      <c r="O38" s="187"/>
      <c r="P38" s="187"/>
      <c r="Q38" s="187"/>
    </row>
    <row r="39" spans="1:17">
      <c r="A39" s="3"/>
      <c r="B39" s="3"/>
      <c r="C39" s="3"/>
      <c r="D39" s="3"/>
      <c r="E39" s="3"/>
      <c r="F39" s="3"/>
      <c r="G39" s="3"/>
      <c r="H39" s="3"/>
      <c r="I39" s="3"/>
      <c r="J39" s="3"/>
      <c r="K39" s="3"/>
      <c r="L39" s="3"/>
      <c r="M39" s="187"/>
      <c r="N39" s="187"/>
      <c r="O39" s="187"/>
      <c r="P39" s="187"/>
      <c r="Q39" s="187"/>
    </row>
    <row r="40" spans="1:17">
      <c r="A40" s="3" t="s">
        <v>2619</v>
      </c>
      <c r="B40" s="3"/>
      <c r="C40" s="3"/>
      <c r="D40" s="3"/>
      <c r="E40" s="3"/>
      <c r="F40" s="3"/>
      <c r="G40" s="3"/>
      <c r="H40" s="3"/>
      <c r="I40" s="3"/>
      <c r="J40" s="3"/>
      <c r="K40" s="3"/>
      <c r="L40" s="3"/>
      <c r="M40" s="187"/>
      <c r="N40" s="187"/>
      <c r="O40" s="187"/>
      <c r="P40" s="187"/>
      <c r="Q40" s="187"/>
    </row>
    <row r="41" spans="1:17">
      <c r="A41" s="1" t="s">
        <v>50</v>
      </c>
    </row>
    <row r="42" spans="1:17">
      <c r="B42" s="9" t="s">
        <v>2618</v>
      </c>
      <c r="C42" s="9"/>
      <c r="D42" s="1687" t="s">
        <v>2617</v>
      </c>
      <c r="E42" s="1688"/>
      <c r="F42" s="9"/>
      <c r="G42" s="9"/>
      <c r="H42" s="9"/>
      <c r="I42" s="9"/>
      <c r="J42" s="9"/>
      <c r="K42" s="9"/>
      <c r="L42" s="9"/>
      <c r="M42" s="9"/>
      <c r="N42" s="9"/>
    </row>
    <row r="43" spans="1:17">
      <c r="B43" s="36" t="s">
        <v>2616</v>
      </c>
      <c r="C43" s="36" t="s">
        <v>2615</v>
      </c>
      <c r="D43" s="36" t="s">
        <v>988</v>
      </c>
      <c r="E43" s="36" t="s">
        <v>987</v>
      </c>
      <c r="F43" s="36" t="s">
        <v>2614</v>
      </c>
      <c r="G43" s="36" t="s">
        <v>2613</v>
      </c>
      <c r="H43" s="36" t="s">
        <v>2612</v>
      </c>
      <c r="I43" s="36" t="s">
        <v>2611</v>
      </c>
      <c r="J43" s="36" t="s">
        <v>2610</v>
      </c>
      <c r="K43" s="36" t="s">
        <v>2609</v>
      </c>
      <c r="L43" s="36" t="s">
        <v>2608</v>
      </c>
      <c r="M43" s="36" t="s">
        <v>2607</v>
      </c>
      <c r="N43" s="36" t="s">
        <v>2606</v>
      </c>
    </row>
    <row r="44" spans="1:17">
      <c r="B44" s="9">
        <f t="shared" ref="B44:I46" si="2">B19</f>
        <v>1</v>
      </c>
      <c r="C44" s="1446">
        <f t="shared" si="2"/>
        <v>0.01</v>
      </c>
      <c r="D44" s="506">
        <f t="shared" si="2"/>
        <v>20000</v>
      </c>
      <c r="E44" s="506">
        <f t="shared" si="2"/>
        <v>5000</v>
      </c>
      <c r="F44" s="506">
        <f t="shared" si="2"/>
        <v>25000</v>
      </c>
      <c r="G44" s="506">
        <f t="shared" si="2"/>
        <v>3960000</v>
      </c>
      <c r="H44" s="506">
        <f t="shared" si="2"/>
        <v>247500</v>
      </c>
      <c r="I44" s="506">
        <f t="shared" si="2"/>
        <v>6187500</v>
      </c>
      <c r="J44" s="501">
        <f>I44-G44-H44</f>
        <v>1980000</v>
      </c>
      <c r="K44" s="501">
        <f>J44*D44/F44</f>
        <v>1584000</v>
      </c>
      <c r="L44" s="501">
        <f>J44*E44/F44</f>
        <v>396000</v>
      </c>
      <c r="M44" s="501">
        <f t="shared" ref="M44:N46" si="3">G44+K44</f>
        <v>5544000</v>
      </c>
      <c r="N44" s="501">
        <f t="shared" si="3"/>
        <v>643500</v>
      </c>
    </row>
    <row r="45" spans="1:17">
      <c r="B45" s="9">
        <f t="shared" si="2"/>
        <v>2</v>
      </c>
      <c r="C45" s="1446">
        <f t="shared" si="2"/>
        <v>0.02</v>
      </c>
      <c r="D45" s="506">
        <f t="shared" si="2"/>
        <v>10000</v>
      </c>
      <c r="E45" s="506">
        <f t="shared" si="2"/>
        <v>8000</v>
      </c>
      <c r="F45" s="506">
        <f t="shared" si="2"/>
        <v>18000</v>
      </c>
      <c r="G45" s="506">
        <f t="shared" si="2"/>
        <v>1960000</v>
      </c>
      <c r="H45" s="506">
        <f t="shared" si="2"/>
        <v>1254400</v>
      </c>
      <c r="I45" s="506">
        <f t="shared" si="2"/>
        <v>6350400</v>
      </c>
      <c r="J45" s="501">
        <f>I45-G45-H45</f>
        <v>3136000</v>
      </c>
      <c r="K45" s="501">
        <f>J45*D45/F45</f>
        <v>1742222.2222222222</v>
      </c>
      <c r="L45" s="501">
        <f>J45*E45/F45</f>
        <v>1393777.7777777778</v>
      </c>
      <c r="M45" s="501">
        <f t="shared" si="3"/>
        <v>3702222.222222222</v>
      </c>
      <c r="N45" s="501">
        <f t="shared" si="3"/>
        <v>2648177.777777778</v>
      </c>
    </row>
    <row r="46" spans="1:17">
      <c r="B46" s="9">
        <f t="shared" si="2"/>
        <v>3</v>
      </c>
      <c r="C46" s="1446">
        <f t="shared" si="2"/>
        <v>0.04</v>
      </c>
      <c r="D46" s="506">
        <f t="shared" si="2"/>
        <v>5000</v>
      </c>
      <c r="E46" s="506">
        <f t="shared" si="2"/>
        <v>2000</v>
      </c>
      <c r="F46" s="506">
        <f t="shared" si="2"/>
        <v>7000</v>
      </c>
      <c r="G46" s="506">
        <f t="shared" si="2"/>
        <v>960000</v>
      </c>
      <c r="H46" s="506">
        <f t="shared" si="2"/>
        <v>153600</v>
      </c>
      <c r="I46" s="506">
        <f t="shared" si="2"/>
        <v>1881600</v>
      </c>
      <c r="J46" s="501">
        <f>I46-G46-H46</f>
        <v>768000</v>
      </c>
      <c r="K46" s="501">
        <f>J46*D46/F46</f>
        <v>548571.42857142852</v>
      </c>
      <c r="L46" s="501">
        <f>J46*E46/F46</f>
        <v>219428.57142857142</v>
      </c>
      <c r="M46" s="501">
        <f t="shared" si="3"/>
        <v>1508571.4285714286</v>
      </c>
      <c r="N46" s="501">
        <f t="shared" si="3"/>
        <v>373028.57142857142</v>
      </c>
    </row>
    <row r="47" spans="1:17">
      <c r="B47" s="9" t="s">
        <v>98</v>
      </c>
      <c r="C47" s="9"/>
      <c r="D47" s="506"/>
      <c r="E47" s="506"/>
      <c r="F47" s="506"/>
      <c r="G47" s="506">
        <f>SUM(G44:G46)</f>
        <v>6880000</v>
      </c>
      <c r="H47" s="506">
        <f>SUM(H44:H46)</f>
        <v>1655500</v>
      </c>
      <c r="I47" s="506">
        <f>SUM(I44:I46)</f>
        <v>14419500</v>
      </c>
      <c r="J47" s="9"/>
      <c r="K47" s="501">
        <f>SUM(K44:K46)</f>
        <v>3874793.6507936507</v>
      </c>
      <c r="L47" s="501">
        <f>SUM(L44:L46)</f>
        <v>2009206.3492063491</v>
      </c>
      <c r="M47" s="501">
        <f>SUM(M44:M46)</f>
        <v>10754793.650793651</v>
      </c>
      <c r="N47" s="501">
        <f>SUM(N44:N46)</f>
        <v>3664706.3492063493</v>
      </c>
    </row>
    <row r="49" spans="2:8">
      <c r="E49" s="277" t="s">
        <v>988</v>
      </c>
      <c r="F49" s="277" t="s">
        <v>987</v>
      </c>
    </row>
    <row r="50" spans="2:8">
      <c r="B50" s="1" t="s">
        <v>2502</v>
      </c>
      <c r="C50" s="1" t="s">
        <v>2605</v>
      </c>
      <c r="E50" s="1494">
        <f>M47*D13</f>
        <v>258.11504761904763</v>
      </c>
      <c r="F50" s="1494">
        <f>N47*D13</f>
        <v>87.952952380952382</v>
      </c>
    </row>
    <row r="51" spans="2:8">
      <c r="G51" s="1106"/>
      <c r="H51" s="1106"/>
    </row>
  </sheetData>
  <mergeCells count="4">
    <mergeCell ref="A6:B6"/>
    <mergeCell ref="C6:D6"/>
    <mergeCell ref="D17:E17"/>
    <mergeCell ref="D42:E42"/>
  </mergeCells>
  <pageMargins left="0.7" right="0.7" top="0.75" bottom="0.75" header="0.3" footer="0.3"/>
  <pageSetup orientation="portrait" horizontalDpi="0"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877C7-13C8-4DE8-94D7-9DC811879A46}">
  <dimension ref="A1:BW249"/>
  <sheetViews>
    <sheetView zoomScaleNormal="100" workbookViewId="0"/>
  </sheetViews>
  <sheetFormatPr defaultColWidth="9.109375" defaultRowHeight="15.6"/>
  <cols>
    <col min="1" max="1" width="9.109375" style="1"/>
    <col min="2" max="3" width="10.109375" style="1" customWidth="1"/>
    <col min="4" max="4" width="11.6640625" style="1" customWidth="1"/>
    <col min="5" max="5" width="12.109375" style="1" customWidth="1"/>
    <col min="6" max="6" width="11.33203125" style="1" customWidth="1"/>
    <col min="7" max="12" width="9.109375" style="1"/>
    <col min="13" max="13" width="9.109375" customWidth="1"/>
    <col min="76" max="16384" width="9.109375" style="1"/>
  </cols>
  <sheetData>
    <row r="1" spans="1:12" ht="15.75" customHeight="1">
      <c r="A1" s="23" t="s">
        <v>1201</v>
      </c>
      <c r="B1" s="22"/>
      <c r="C1" s="5" t="s">
        <v>38</v>
      </c>
      <c r="D1" s="22"/>
      <c r="E1" s="22"/>
      <c r="F1" s="22"/>
      <c r="G1" s="22"/>
      <c r="H1" s="22"/>
      <c r="I1" s="22"/>
      <c r="J1" s="22"/>
      <c r="K1" s="22"/>
      <c r="L1" s="2"/>
    </row>
    <row r="2" spans="1:12" ht="15.75" customHeight="1">
      <c r="A2" s="23"/>
      <c r="B2" s="22"/>
      <c r="C2" s="160" t="s">
        <v>857</v>
      </c>
      <c r="D2" s="166"/>
      <c r="E2" s="166"/>
      <c r="F2" s="166"/>
      <c r="G2" s="166"/>
      <c r="H2" s="166"/>
      <c r="I2" s="166"/>
      <c r="J2" s="166"/>
      <c r="K2" s="166"/>
      <c r="L2" s="165"/>
    </row>
    <row r="3" spans="1:12" ht="31.5" customHeight="1">
      <c r="A3" s="1733" t="s">
        <v>2645</v>
      </c>
      <c r="B3" s="1733"/>
      <c r="C3" s="1733"/>
      <c r="D3" s="1733"/>
      <c r="E3" s="1733"/>
      <c r="F3" s="1733"/>
      <c r="G3" s="1733"/>
      <c r="H3" s="1733"/>
      <c r="I3" s="1733"/>
      <c r="J3" s="1733"/>
      <c r="K3" s="1733"/>
      <c r="L3" s="1733"/>
    </row>
    <row r="4" spans="1:12" ht="15.75" customHeight="1">
      <c r="A4" s="3"/>
      <c r="B4" s="3"/>
      <c r="C4" s="3"/>
      <c r="D4" s="3"/>
      <c r="E4" s="3"/>
      <c r="F4" s="3"/>
      <c r="G4" s="3"/>
      <c r="H4" s="3"/>
      <c r="I4" s="3"/>
      <c r="J4" s="3"/>
      <c r="K4" s="3"/>
      <c r="L4" s="2"/>
    </row>
    <row r="5" spans="1:12" ht="31.5" customHeight="1">
      <c r="A5" s="1670" t="s">
        <v>2644</v>
      </c>
      <c r="B5" s="1670"/>
      <c r="C5" s="1670"/>
      <c r="D5" s="1670"/>
      <c r="E5" s="1670"/>
      <c r="F5" s="1670"/>
      <c r="G5" s="1670"/>
      <c r="H5" s="1670"/>
      <c r="I5" s="1670"/>
      <c r="J5" s="1670"/>
      <c r="K5" s="1670"/>
      <c r="L5" s="1670"/>
    </row>
    <row r="6" spans="1:12" ht="15.75" customHeight="1">
      <c r="A6" s="3"/>
      <c r="B6" s="3"/>
      <c r="C6" s="3"/>
      <c r="D6" s="3"/>
      <c r="E6" s="3"/>
      <c r="F6" s="3"/>
      <c r="G6" s="3"/>
      <c r="H6" s="3"/>
      <c r="I6" s="3"/>
      <c r="J6" s="3"/>
      <c r="K6" s="3"/>
      <c r="L6" s="2"/>
    </row>
    <row r="7" spans="1:12" ht="15.75" customHeight="1">
      <c r="A7" s="3" t="s">
        <v>2643</v>
      </c>
      <c r="B7" s="679"/>
      <c r="C7" s="677"/>
      <c r="D7" s="676"/>
      <c r="E7" s="3"/>
      <c r="F7" s="3"/>
      <c r="G7" s="3"/>
      <c r="H7" s="3"/>
      <c r="I7" s="3"/>
      <c r="J7" s="3"/>
      <c r="K7" s="3"/>
      <c r="L7" s="2"/>
    </row>
    <row r="8" spans="1:12" ht="15.75" customHeight="1">
      <c r="A8" s="3"/>
      <c r="B8" s="1671" t="s">
        <v>2632</v>
      </c>
      <c r="C8" s="1671"/>
      <c r="D8" s="1671" t="s">
        <v>2617</v>
      </c>
      <c r="E8" s="1671"/>
      <c r="F8" s="3"/>
      <c r="G8" s="3"/>
      <c r="H8" s="3"/>
      <c r="I8" s="3"/>
      <c r="J8" s="3"/>
      <c r="K8" s="3"/>
      <c r="L8" s="2"/>
    </row>
    <row r="9" spans="1:12" ht="15.75" customHeight="1">
      <c r="A9" s="3"/>
      <c r="B9" s="1495" t="s">
        <v>2616</v>
      </c>
      <c r="C9" s="157" t="s">
        <v>2642</v>
      </c>
      <c r="D9" s="466" t="s">
        <v>988</v>
      </c>
      <c r="E9" s="466" t="s">
        <v>987</v>
      </c>
      <c r="F9" s="3"/>
      <c r="G9" s="3"/>
      <c r="H9" s="3"/>
      <c r="I9" s="3"/>
      <c r="J9" s="3"/>
      <c r="K9" s="3"/>
      <c r="L9" s="2"/>
    </row>
    <row r="10" spans="1:12" ht="15.75" customHeight="1">
      <c r="A10" s="3"/>
      <c r="B10" s="133">
        <v>1</v>
      </c>
      <c r="C10" s="724">
        <v>1.4999999999999999E-2</v>
      </c>
      <c r="D10" s="1502">
        <v>15000</v>
      </c>
      <c r="E10" s="1503">
        <v>500</v>
      </c>
      <c r="F10" s="3"/>
      <c r="G10" s="3"/>
      <c r="H10" s="3"/>
      <c r="I10" s="3"/>
      <c r="J10" s="3"/>
      <c r="K10" s="3"/>
      <c r="L10" s="2"/>
    </row>
    <row r="11" spans="1:12" ht="15.75" customHeight="1">
      <c r="A11" s="3"/>
      <c r="B11" s="133">
        <v>2</v>
      </c>
      <c r="C11" s="724">
        <v>0.01</v>
      </c>
      <c r="D11" s="1502">
        <v>9000</v>
      </c>
      <c r="E11" s="1223">
        <v>2000</v>
      </c>
      <c r="F11" s="3"/>
      <c r="G11" s="3"/>
      <c r="H11" s="3"/>
      <c r="I11" s="3"/>
      <c r="J11" s="3"/>
      <c r="K11" s="3"/>
      <c r="L11" s="2"/>
    </row>
    <row r="12" spans="1:12" ht="15.75" customHeight="1">
      <c r="A12" s="3"/>
      <c r="B12" s="133">
        <v>3</v>
      </c>
      <c r="C12" s="724">
        <v>2.5000000000000001E-2</v>
      </c>
      <c r="D12" s="1502">
        <v>6500</v>
      </c>
      <c r="E12" s="1223">
        <v>2500</v>
      </c>
      <c r="F12" s="3"/>
      <c r="G12" s="3"/>
      <c r="H12" s="3"/>
      <c r="I12" s="3"/>
      <c r="J12" s="3"/>
      <c r="K12" s="3"/>
      <c r="L12" s="2"/>
    </row>
    <row r="13" spans="1:12" ht="15.75" customHeight="1">
      <c r="A13" s="3"/>
      <c r="B13" s="133">
        <v>4</v>
      </c>
      <c r="C13" s="724">
        <v>0.03</v>
      </c>
      <c r="D13" s="1502">
        <v>4500</v>
      </c>
      <c r="E13" s="1223">
        <v>5000</v>
      </c>
      <c r="F13" s="3"/>
      <c r="G13" s="3"/>
      <c r="H13" s="3"/>
      <c r="I13" s="3"/>
      <c r="J13" s="3"/>
      <c r="K13" s="3"/>
      <c r="L13" s="2"/>
    </row>
    <row r="14" spans="1:12" ht="15.75" customHeight="1">
      <c r="A14" s="3"/>
      <c r="B14" s="133">
        <v>5</v>
      </c>
      <c r="C14" s="724">
        <v>0.02</v>
      </c>
      <c r="D14" s="1502">
        <v>1000</v>
      </c>
      <c r="E14" s="1223">
        <v>10000</v>
      </c>
      <c r="F14" s="3"/>
      <c r="G14" s="3"/>
      <c r="H14" s="3"/>
      <c r="I14" s="3"/>
      <c r="J14" s="3"/>
      <c r="K14" s="74"/>
      <c r="L14" s="2"/>
    </row>
    <row r="15" spans="1:12" ht="15.75" customHeight="1">
      <c r="A15" s="3"/>
      <c r="B15" s="3"/>
      <c r="C15" s="3"/>
      <c r="D15" s="3"/>
      <c r="E15" s="3"/>
      <c r="F15" s="3"/>
      <c r="G15" s="3"/>
      <c r="H15" s="3"/>
      <c r="I15" s="3"/>
      <c r="J15" s="3"/>
      <c r="K15" s="74"/>
      <c r="L15" s="2"/>
    </row>
    <row r="16" spans="1:12" ht="15.75" customHeight="1">
      <c r="A16" s="674" t="s">
        <v>864</v>
      </c>
      <c r="B16" s="3" t="s">
        <v>2641</v>
      </c>
      <c r="C16" s="673"/>
      <c r="D16" s="3"/>
      <c r="E16" s="3"/>
      <c r="F16" s="3"/>
      <c r="G16" s="3"/>
      <c r="H16" s="3"/>
      <c r="I16" s="3"/>
      <c r="J16" s="3"/>
      <c r="K16" s="74"/>
      <c r="L16" s="3"/>
    </row>
    <row r="17" spans="1:12" ht="15.75" customHeight="1">
      <c r="A17" s="674" t="s">
        <v>864</v>
      </c>
      <c r="B17" s="3" t="s">
        <v>2640</v>
      </c>
      <c r="C17" s="3"/>
      <c r="D17" s="3"/>
      <c r="E17" s="6">
        <v>4.5000000000000003E-5</v>
      </c>
      <c r="F17" s="3"/>
      <c r="G17" s="3"/>
      <c r="H17" s="3"/>
      <c r="I17" s="3"/>
      <c r="J17" s="3"/>
      <c r="K17" s="1224"/>
      <c r="L17" s="3"/>
    </row>
    <row r="18" spans="1:12" ht="15.75" customHeight="1">
      <c r="A18" s="3"/>
      <c r="B18" s="3"/>
      <c r="C18" s="1196"/>
      <c r="D18" s="3"/>
      <c r="E18" s="3"/>
      <c r="F18" s="3"/>
      <c r="G18" s="3"/>
      <c r="H18" s="3"/>
      <c r="I18" s="3"/>
      <c r="J18" s="3"/>
      <c r="K18" s="1224"/>
      <c r="L18" s="3"/>
    </row>
    <row r="19" spans="1:12" ht="15.75" customHeight="1">
      <c r="A19" s="3" t="s">
        <v>7</v>
      </c>
      <c r="B19" s="3" t="s">
        <v>2639</v>
      </c>
      <c r="C19" s="3"/>
      <c r="D19" s="3"/>
      <c r="E19" s="3"/>
      <c r="F19" s="3"/>
      <c r="G19" s="3"/>
      <c r="H19" s="3"/>
      <c r="I19" s="3"/>
      <c r="J19" s="3"/>
      <c r="K19" s="3"/>
      <c r="L19" s="2"/>
    </row>
    <row r="20" spans="1:12" ht="15.75" customHeight="1">
      <c r="A20" s="3"/>
      <c r="B20" s="760" t="s">
        <v>350</v>
      </c>
      <c r="C20" s="3" t="s">
        <v>2625</v>
      </c>
      <c r="D20" s="3"/>
      <c r="E20" s="3"/>
      <c r="F20" s="3"/>
      <c r="G20" s="3"/>
      <c r="H20" s="3"/>
      <c r="I20" s="3"/>
      <c r="J20" s="3"/>
      <c r="K20" s="3"/>
      <c r="L20" s="2"/>
    </row>
    <row r="21" spans="1:12" ht="15.75" customHeight="1">
      <c r="A21" s="3"/>
      <c r="B21" s="760" t="s">
        <v>344</v>
      </c>
      <c r="C21" s="3" t="s">
        <v>2638</v>
      </c>
      <c r="D21" s="3"/>
      <c r="E21" s="3"/>
      <c r="F21" s="3"/>
      <c r="G21" s="3"/>
      <c r="H21" s="3"/>
      <c r="I21" s="3"/>
      <c r="J21" s="3"/>
      <c r="K21" s="3"/>
      <c r="L21" s="2"/>
    </row>
    <row r="22" spans="1:12" ht="15.75" customHeight="1">
      <c r="A22" s="3"/>
      <c r="B22" s="3"/>
      <c r="C22" s="3"/>
      <c r="D22" s="3"/>
      <c r="E22" s="3"/>
      <c r="F22" s="3"/>
      <c r="G22" s="3"/>
      <c r="H22" s="3"/>
      <c r="I22" s="3"/>
      <c r="J22" s="3"/>
      <c r="K22" s="3"/>
      <c r="L22" s="2"/>
    </row>
    <row r="23" spans="1:12" ht="15.75" customHeight="1">
      <c r="A23" s="5"/>
      <c r="B23" s="5" t="s">
        <v>64</v>
      </c>
      <c r="C23" s="5"/>
      <c r="D23" s="4"/>
      <c r="E23" s="4"/>
      <c r="F23" s="4"/>
      <c r="G23" s="4"/>
      <c r="H23" s="3"/>
      <c r="I23" s="3"/>
      <c r="J23" s="2"/>
      <c r="K23" s="3"/>
      <c r="L23" s="2"/>
    </row>
    <row r="24" spans="1:12" ht="15.75" customHeight="1">
      <c r="A24" s="57"/>
      <c r="B24" s="57"/>
      <c r="C24" s="57"/>
      <c r="D24" s="57"/>
      <c r="E24" s="57"/>
      <c r="F24" s="57"/>
      <c r="G24" s="57"/>
      <c r="H24" s="57"/>
      <c r="I24" s="57"/>
      <c r="J24" s="57"/>
      <c r="K24" s="57"/>
      <c r="L24"/>
    </row>
    <row r="25" spans="1:12" ht="15.75" customHeight="1">
      <c r="A25" s="57"/>
      <c r="B25" s="1501" t="s">
        <v>2616</v>
      </c>
      <c r="C25" s="1501" t="s">
        <v>2615</v>
      </c>
      <c r="D25" s="1501" t="s">
        <v>988</v>
      </c>
      <c r="E25" s="1501" t="s">
        <v>987</v>
      </c>
      <c r="F25" s="1501" t="s">
        <v>2614</v>
      </c>
      <c r="G25" s="57"/>
      <c r="H25" s="57"/>
      <c r="I25" s="57"/>
      <c r="J25" s="57"/>
      <c r="K25" s="57"/>
      <c r="L25"/>
    </row>
    <row r="26" spans="1:12" ht="15.75" customHeight="1">
      <c r="A26" s="57"/>
      <c r="B26" s="1501">
        <v>1</v>
      </c>
      <c r="C26" s="1500">
        <f t="shared" ref="C26:E30" si="0">C10</f>
        <v>1.4999999999999999E-2</v>
      </c>
      <c r="D26" s="1499">
        <f t="shared" si="0"/>
        <v>15000</v>
      </c>
      <c r="E26" s="1499">
        <f t="shared" si="0"/>
        <v>500</v>
      </c>
      <c r="F26" s="1499">
        <f>SUM(D26:E26)</f>
        <v>15500</v>
      </c>
      <c r="G26" s="57"/>
      <c r="H26" s="57"/>
      <c r="I26" s="57"/>
      <c r="J26" s="57"/>
      <c r="K26" s="57"/>
      <c r="L26"/>
    </row>
    <row r="27" spans="1:12" ht="15.75" customHeight="1">
      <c r="A27" s="57"/>
      <c r="B27" s="1501">
        <v>2</v>
      </c>
      <c r="C27" s="1500">
        <f t="shared" si="0"/>
        <v>0.01</v>
      </c>
      <c r="D27" s="1499">
        <f t="shared" si="0"/>
        <v>9000</v>
      </c>
      <c r="E27" s="1499">
        <f t="shared" si="0"/>
        <v>2000</v>
      </c>
      <c r="F27" s="1499">
        <f>SUM(D27:E27)</f>
        <v>11000</v>
      </c>
      <c r="G27" s="57"/>
      <c r="H27" s="57"/>
      <c r="I27" s="57"/>
      <c r="J27" s="57"/>
      <c r="K27" s="57"/>
      <c r="L27"/>
    </row>
    <row r="28" spans="1:12" ht="15.75" customHeight="1">
      <c r="A28" s="57"/>
      <c r="B28" s="1501">
        <v>3</v>
      </c>
      <c r="C28" s="1500">
        <f t="shared" si="0"/>
        <v>2.5000000000000001E-2</v>
      </c>
      <c r="D28" s="1499">
        <f t="shared" si="0"/>
        <v>6500</v>
      </c>
      <c r="E28" s="1499">
        <f t="shared" si="0"/>
        <v>2500</v>
      </c>
      <c r="F28" s="1499">
        <f>SUM(D28:E28)</f>
        <v>9000</v>
      </c>
      <c r="G28" s="57"/>
      <c r="H28" s="57"/>
      <c r="I28" s="57"/>
      <c r="J28" s="57"/>
      <c r="K28" s="57"/>
      <c r="L28"/>
    </row>
    <row r="29" spans="1:12" ht="15.75" customHeight="1">
      <c r="A29" s="57"/>
      <c r="B29" s="1501">
        <v>4</v>
      </c>
      <c r="C29" s="1500">
        <f t="shared" si="0"/>
        <v>0.03</v>
      </c>
      <c r="D29" s="1499">
        <f t="shared" si="0"/>
        <v>4500</v>
      </c>
      <c r="E29" s="1499">
        <f t="shared" si="0"/>
        <v>5000</v>
      </c>
      <c r="F29" s="1499">
        <f>SUM(D29:E29)</f>
        <v>9500</v>
      </c>
      <c r="G29" s="57"/>
      <c r="H29" s="57"/>
      <c r="I29" s="57"/>
      <c r="J29" s="57"/>
      <c r="K29" s="57"/>
      <c r="L29"/>
    </row>
    <row r="30" spans="1:12">
      <c r="A30" s="57"/>
      <c r="B30" s="1501">
        <v>5</v>
      </c>
      <c r="C30" s="1500">
        <f t="shared" si="0"/>
        <v>0.02</v>
      </c>
      <c r="D30" s="1499">
        <f t="shared" si="0"/>
        <v>1000</v>
      </c>
      <c r="E30" s="1499">
        <f t="shared" si="0"/>
        <v>10000</v>
      </c>
      <c r="F30" s="1499">
        <f>SUM(D30:E30)</f>
        <v>11000</v>
      </c>
      <c r="G30" s="57"/>
      <c r="H30" s="57"/>
      <c r="I30" s="57"/>
      <c r="J30" s="57"/>
      <c r="K30" s="57"/>
      <c r="L30"/>
    </row>
    <row r="31" spans="1:12" ht="15.75" customHeight="1">
      <c r="A31" s="57"/>
      <c r="B31" s="57"/>
      <c r="G31" s="57"/>
      <c r="H31" s="57"/>
      <c r="I31" s="57"/>
      <c r="J31" s="57"/>
      <c r="K31" s="57"/>
      <c r="L31"/>
    </row>
    <row r="32" spans="1:12" ht="15.75" customHeight="1">
      <c r="A32" s="57"/>
      <c r="B32" s="57"/>
      <c r="G32" s="57"/>
      <c r="H32" s="57"/>
      <c r="I32" s="57"/>
      <c r="J32" s="57"/>
      <c r="K32" s="57"/>
      <c r="L32"/>
    </row>
    <row r="33" spans="1:12" ht="15.75" customHeight="1">
      <c r="A33" s="57" t="s">
        <v>350</v>
      </c>
      <c r="B33" s="57"/>
      <c r="C33" s="57"/>
      <c r="D33" s="1483" t="s">
        <v>988</v>
      </c>
      <c r="E33" s="1483" t="s">
        <v>987</v>
      </c>
      <c r="F33" s="1483" t="s">
        <v>2614</v>
      </c>
      <c r="G33" s="57"/>
      <c r="H33" s="57"/>
      <c r="I33" s="57"/>
      <c r="J33" s="57"/>
      <c r="K33" s="57"/>
      <c r="L33"/>
    </row>
    <row r="34" spans="1:12" ht="15.75" customHeight="1">
      <c r="A34" s="57"/>
      <c r="B34" s="57"/>
      <c r="C34" s="57" t="s">
        <v>460</v>
      </c>
      <c r="D34" s="1497" cm="1">
        <f t="array" ref="D34">SUMPRODUCT(D$26:D$30,D$26:D$30,$C$26:$C$30,(1-$C$26:$C$30))</f>
        <v>5764993.75</v>
      </c>
      <c r="E34" s="1497" cm="1">
        <f t="array" ref="E34">SUMPRODUCT(E$26:E$30,E$26:E$30,$C$26:$C$30,(1-$C$26:$C$30))</f>
        <v>2883137.5</v>
      </c>
      <c r="F34" s="1497" cm="1">
        <f t="array" ref="F34">SUMPRODUCT(F$26:F$30,F$26:F$30,$C$26:$C$30,(1-$C$26:$C$30))</f>
        <v>11719843.75</v>
      </c>
      <c r="G34"/>
      <c r="H34" s="57"/>
      <c r="I34" s="57"/>
      <c r="J34" s="57"/>
      <c r="K34" s="57"/>
      <c r="L34"/>
    </row>
    <row r="35" spans="1:12" ht="15.75" customHeight="1">
      <c r="B35" s="57"/>
      <c r="C35" s="68" t="s">
        <v>2637</v>
      </c>
      <c r="D35" s="1497">
        <f>$F34-E34</f>
        <v>8836706.25</v>
      </c>
      <c r="E35" s="1497">
        <f>$F34-D34</f>
        <v>5954850</v>
      </c>
      <c r="F35" s="57"/>
      <c r="G35"/>
      <c r="H35" s="57"/>
      <c r="I35" s="57"/>
      <c r="J35" s="57"/>
      <c r="K35" s="57"/>
      <c r="L35"/>
    </row>
    <row r="36" spans="1:12" ht="15.75" customHeight="1">
      <c r="A36" s="275"/>
      <c r="B36" s="56"/>
      <c r="C36" s="1222" t="s">
        <v>2636</v>
      </c>
      <c r="D36" s="1496">
        <f>$E$17*D35</f>
        <v>397.65178125</v>
      </c>
      <c r="E36" s="1496">
        <f>$E$17*E35</f>
        <v>267.96825000000001</v>
      </c>
      <c r="F36" s="57"/>
      <c r="G36"/>
      <c r="H36" s="57"/>
      <c r="I36" s="57"/>
      <c r="J36" s="57"/>
      <c r="K36" s="57"/>
      <c r="L36"/>
    </row>
    <row r="37" spans="1:12" ht="15.75" customHeight="1">
      <c r="A37" s="57"/>
      <c r="B37" s="57"/>
      <c r="C37" s="57"/>
      <c r="D37" s="57"/>
      <c r="E37" s="57"/>
      <c r="F37" s="57"/>
      <c r="G37"/>
      <c r="H37" s="57"/>
      <c r="I37" s="57"/>
      <c r="J37" s="57"/>
      <c r="K37" s="57"/>
      <c r="L37"/>
    </row>
    <row r="38" spans="1:12" ht="15.75" customHeight="1">
      <c r="A38" s="57"/>
      <c r="B38" s="57"/>
      <c r="C38" s="57"/>
      <c r="D38" s="57"/>
      <c r="E38" s="57"/>
      <c r="F38" s="57"/>
      <c r="G38"/>
      <c r="H38" s="57"/>
      <c r="I38" s="57"/>
      <c r="J38" s="57"/>
      <c r="K38" s="57"/>
      <c r="L38"/>
    </row>
    <row r="39" spans="1:12" ht="15.75" customHeight="1">
      <c r="A39" s="57" t="s">
        <v>344</v>
      </c>
      <c r="B39" s="57"/>
      <c r="C39" s="68" t="s">
        <v>1043</v>
      </c>
      <c r="D39" s="1483" t="s">
        <v>988</v>
      </c>
      <c r="E39" s="1483" t="s">
        <v>987</v>
      </c>
      <c r="F39" s="57"/>
      <c r="G39"/>
      <c r="H39" s="57"/>
      <c r="I39" s="57"/>
      <c r="J39" s="57"/>
      <c r="K39" s="57"/>
      <c r="L39"/>
    </row>
    <row r="40" spans="1:12" ht="15.75" customHeight="1">
      <c r="A40" s="57"/>
      <c r="B40" s="57"/>
      <c r="C40" s="1498" t="s">
        <v>988</v>
      </c>
      <c r="D40" s="1497" cm="1">
        <f t="array" ref="D40">SUMPRODUCT(D$26:D$30,D$26:D$30,$C$26:$C$30,(1-$C$26:$C$30))</f>
        <v>5764993.75</v>
      </c>
      <c r="E40" s="1497" cm="1">
        <f t="array" ref="E40">SUMPRODUCT(D$26:D$30,E$26:E$30,$C$26:$C$30,(1-$C$26:$C$30))</f>
        <v>1535856.25</v>
      </c>
      <c r="F40" s="57"/>
      <c r="G40"/>
      <c r="H40" s="57"/>
      <c r="I40" s="57"/>
      <c r="J40" s="57"/>
      <c r="K40" s="57"/>
      <c r="L40"/>
    </row>
    <row r="41" spans="1:12" ht="15.75" customHeight="1">
      <c r="A41" s="57"/>
      <c r="B41" s="57"/>
      <c r="C41" s="1498" t="s">
        <v>987</v>
      </c>
      <c r="D41" s="1497">
        <f>E40</f>
        <v>1535856.25</v>
      </c>
      <c r="E41" s="1497" cm="1">
        <f t="array" ref="E41">SUMPRODUCT(E$26:E$30,E$26:E$30,$C$26:$C$30,(1-$C$26:$C$30))</f>
        <v>2883137.5</v>
      </c>
      <c r="F41" s="57"/>
      <c r="G41"/>
      <c r="H41" s="57"/>
      <c r="I41" s="57"/>
      <c r="J41" s="57"/>
      <c r="K41" s="57"/>
      <c r="L41"/>
    </row>
    <row r="42" spans="1:12" ht="15.75" customHeight="1">
      <c r="A42" s="57"/>
      <c r="B42" s="57"/>
      <c r="C42" s="57"/>
      <c r="D42" s="57"/>
      <c r="E42" s="57"/>
      <c r="F42" s="57"/>
      <c r="G42"/>
      <c r="H42" s="57"/>
      <c r="I42" s="57"/>
      <c r="J42" s="57"/>
      <c r="K42" s="57"/>
      <c r="L42"/>
    </row>
    <row r="43" spans="1:12" ht="15.75" customHeight="1">
      <c r="A43" s="57"/>
      <c r="B43" s="57"/>
      <c r="C43" s="57"/>
      <c r="D43" s="1483" t="s">
        <v>988</v>
      </c>
      <c r="E43" s="1483" t="s">
        <v>987</v>
      </c>
      <c r="F43" s="57"/>
      <c r="G43"/>
      <c r="H43" s="57"/>
      <c r="I43" s="57"/>
      <c r="J43" s="57"/>
      <c r="K43" s="57"/>
      <c r="L43"/>
    </row>
    <row r="44" spans="1:12" ht="15.75" customHeight="1">
      <c r="A44" s="57"/>
      <c r="B44" s="57"/>
      <c r="C44" s="68" t="s">
        <v>2635</v>
      </c>
      <c r="D44" s="1497">
        <f>SUM(D40:D41)</f>
        <v>7300850</v>
      </c>
      <c r="E44" s="1497">
        <f>SUM(E40:E41)</f>
        <v>4418993.75</v>
      </c>
      <c r="F44" s="57"/>
      <c r="G44"/>
      <c r="H44" s="57"/>
      <c r="I44" s="57"/>
      <c r="J44" s="57"/>
      <c r="K44" s="57"/>
      <c r="L44"/>
    </row>
    <row r="45" spans="1:12" ht="15.75" customHeight="1">
      <c r="A45" s="56"/>
      <c r="B45" s="56"/>
      <c r="C45" s="1222" t="s">
        <v>2634</v>
      </c>
      <c r="D45" s="1496">
        <f>$E$17*D44</f>
        <v>328.53825000000001</v>
      </c>
      <c r="E45" s="1496">
        <f>$E$17*E44</f>
        <v>198.85471875000002</v>
      </c>
      <c r="F45" s="57"/>
      <c r="G45"/>
      <c r="H45" s="57"/>
      <c r="I45" s="57"/>
      <c r="J45" s="57"/>
      <c r="K45" s="57"/>
      <c r="L45"/>
    </row>
    <row r="46" spans="1:12" ht="15.75" customHeight="1">
      <c r="A46" s="57"/>
      <c r="B46" s="57"/>
      <c r="C46" s="57"/>
      <c r="D46" s="57"/>
      <c r="E46" s="57"/>
      <c r="F46" s="57"/>
      <c r="G46" s="57"/>
      <c r="H46" s="57"/>
      <c r="I46" s="57"/>
      <c r="J46" s="57"/>
      <c r="K46" s="57"/>
      <c r="L46"/>
    </row>
    <row r="47" spans="1:12" ht="15.75" customHeight="1">
      <c r="A47" s="57"/>
      <c r="B47" s="57"/>
      <c r="C47" s="57"/>
      <c r="D47" s="57"/>
      <c r="E47" s="57"/>
      <c r="F47" s="57"/>
      <c r="G47" s="57"/>
      <c r="H47" s="57"/>
      <c r="I47" s="57"/>
      <c r="J47" s="57"/>
      <c r="K47" s="57"/>
      <c r="L47"/>
    </row>
    <row r="48" spans="1:12" ht="15.75" customHeight="1">
      <c r="A48" s="57"/>
      <c r="B48" s="57"/>
      <c r="C48" s="57"/>
      <c r="D48" s="57"/>
      <c r="E48" s="57"/>
      <c r="F48" s="57"/>
      <c r="G48" s="57"/>
      <c r="H48" s="57"/>
      <c r="I48" s="57"/>
      <c r="J48" s="57"/>
      <c r="K48" s="57"/>
      <c r="L48"/>
    </row>
    <row r="49" spans="1:12" ht="15.75" customHeight="1">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c r="J149"/>
      <c r="K149"/>
      <c r="L149"/>
    </row>
    <row r="150" spans="1:12">
      <c r="A150"/>
      <c r="B150"/>
      <c r="C150"/>
      <c r="D150"/>
      <c r="E150"/>
      <c r="F150"/>
      <c r="G150"/>
      <c r="H150"/>
      <c r="I150"/>
      <c r="J150"/>
      <c r="K150"/>
      <c r="L150"/>
    </row>
    <row r="151" spans="1:12">
      <c r="A151"/>
      <c r="B151"/>
      <c r="C151"/>
      <c r="D151"/>
      <c r="E151"/>
      <c r="F151"/>
      <c r="G151"/>
      <c r="H151"/>
      <c r="I151"/>
      <c r="J151"/>
      <c r="K151"/>
      <c r="L151"/>
    </row>
    <row r="152" spans="1:12">
      <c r="A152"/>
      <c r="B152"/>
      <c r="C152"/>
      <c r="D152"/>
      <c r="E152"/>
      <c r="F152"/>
      <c r="G152"/>
      <c r="H152"/>
      <c r="I152"/>
      <c r="J152"/>
      <c r="K152"/>
      <c r="L152"/>
    </row>
    <row r="153" spans="1:12">
      <c r="A153"/>
      <c r="B153"/>
      <c r="C153"/>
      <c r="D153"/>
      <c r="E153"/>
      <c r="F153"/>
      <c r="G153"/>
      <c r="H153"/>
      <c r="I153"/>
      <c r="J153"/>
      <c r="K153"/>
      <c r="L153"/>
    </row>
    <row r="154" spans="1:12">
      <c r="A154"/>
      <c r="B154"/>
      <c r="C154"/>
      <c r="D154"/>
      <c r="E154"/>
      <c r="F154"/>
      <c r="G154"/>
      <c r="H154"/>
      <c r="I154"/>
      <c r="J154"/>
      <c r="K154"/>
      <c r="L154"/>
    </row>
    <row r="155" spans="1:12">
      <c r="A155"/>
      <c r="B155"/>
      <c r="C155"/>
      <c r="D155"/>
      <c r="E155"/>
      <c r="F155"/>
      <c r="G155"/>
      <c r="H155"/>
      <c r="I155"/>
      <c r="J155"/>
      <c r="K155"/>
      <c r="L155"/>
    </row>
    <row r="156" spans="1:12">
      <c r="A156"/>
      <c r="B156"/>
      <c r="C156"/>
      <c r="D156"/>
      <c r="E156"/>
      <c r="F156"/>
      <c r="G156"/>
      <c r="H156"/>
      <c r="I156"/>
      <c r="J156"/>
      <c r="K156"/>
      <c r="L156"/>
    </row>
    <row r="157" spans="1:12">
      <c r="A157"/>
      <c r="B157"/>
      <c r="C157"/>
      <c r="D157"/>
      <c r="E157"/>
      <c r="F157"/>
      <c r="G157"/>
      <c r="H157"/>
      <c r="I157"/>
      <c r="J157"/>
      <c r="K157"/>
      <c r="L157"/>
    </row>
    <row r="158" spans="1:12">
      <c r="A158"/>
      <c r="B158"/>
      <c r="C158"/>
      <c r="D158"/>
      <c r="E158"/>
      <c r="F158"/>
      <c r="G158"/>
      <c r="H158"/>
      <c r="I158"/>
      <c r="J158"/>
      <c r="K158"/>
      <c r="L158"/>
    </row>
    <row r="159" spans="1:12">
      <c r="A159"/>
      <c r="B159"/>
      <c r="C159"/>
      <c r="D159"/>
      <c r="E159"/>
      <c r="F159"/>
      <c r="G159"/>
      <c r="H159"/>
      <c r="I159"/>
      <c r="J159"/>
      <c r="K159"/>
      <c r="L159"/>
    </row>
    <row r="160" spans="1:12">
      <c r="A160"/>
      <c r="B160"/>
      <c r="C160"/>
      <c r="D160"/>
      <c r="E160"/>
      <c r="F160"/>
      <c r="G160"/>
      <c r="H160"/>
      <c r="I160"/>
      <c r="J160"/>
      <c r="K160"/>
      <c r="L160"/>
    </row>
    <row r="161" spans="1:12">
      <c r="A161"/>
      <c r="B161"/>
      <c r="C161"/>
      <c r="D161"/>
      <c r="E161"/>
      <c r="F161"/>
      <c r="G161"/>
      <c r="H161"/>
      <c r="I161"/>
      <c r="J161"/>
      <c r="K161"/>
      <c r="L161"/>
    </row>
    <row r="162" spans="1:12">
      <c r="A162"/>
      <c r="B162"/>
      <c r="C162"/>
      <c r="D162"/>
      <c r="E162"/>
      <c r="F162"/>
      <c r="G162"/>
      <c r="H162"/>
      <c r="I162"/>
      <c r="J162"/>
      <c r="K162"/>
      <c r="L162"/>
    </row>
    <row r="163" spans="1:12">
      <c r="A163"/>
      <c r="B163"/>
      <c r="C163"/>
      <c r="D163"/>
      <c r="E163"/>
      <c r="F163"/>
      <c r="G163"/>
      <c r="H163"/>
      <c r="I163"/>
      <c r="J163"/>
      <c r="K163"/>
      <c r="L163"/>
    </row>
    <row r="164" spans="1:12">
      <c r="A164"/>
      <c r="B164"/>
      <c r="C164"/>
      <c r="D164"/>
      <c r="E164"/>
      <c r="F164"/>
      <c r="G164"/>
      <c r="H164"/>
      <c r="I164"/>
      <c r="J164"/>
      <c r="K164"/>
      <c r="L164"/>
    </row>
    <row r="165" spans="1:12">
      <c r="A165"/>
      <c r="B165"/>
      <c r="C165"/>
      <c r="D165"/>
      <c r="E165"/>
      <c r="F165"/>
      <c r="G165"/>
      <c r="H165"/>
      <c r="I165"/>
      <c r="J165"/>
      <c r="K165"/>
      <c r="L165"/>
    </row>
    <row r="166" spans="1:12">
      <c r="A166"/>
      <c r="B166"/>
      <c r="C166"/>
      <c r="D166"/>
      <c r="E166"/>
      <c r="F166"/>
      <c r="G166"/>
      <c r="H166"/>
      <c r="I166"/>
      <c r="J166"/>
      <c r="K166"/>
      <c r="L166"/>
    </row>
    <row r="167" spans="1:12">
      <c r="A167"/>
      <c r="B167"/>
      <c r="C167"/>
      <c r="D167"/>
      <c r="E167"/>
      <c r="F167"/>
      <c r="G167"/>
      <c r="H167"/>
      <c r="I167"/>
      <c r="J167"/>
      <c r="K167"/>
      <c r="L167"/>
    </row>
    <row r="168" spans="1:12">
      <c r="A168"/>
      <c r="B168"/>
      <c r="C168"/>
      <c r="D168"/>
      <c r="E168"/>
      <c r="F168"/>
      <c r="G168"/>
      <c r="H168"/>
      <c r="I168"/>
      <c r="J168"/>
      <c r="K168"/>
      <c r="L168"/>
    </row>
    <row r="169" spans="1:12">
      <c r="A169"/>
      <c r="B169"/>
      <c r="C169"/>
      <c r="D169"/>
      <c r="E169"/>
      <c r="F169"/>
      <c r="G169"/>
      <c r="H169"/>
      <c r="I169"/>
      <c r="J169"/>
      <c r="K169"/>
      <c r="L169"/>
    </row>
    <row r="170" spans="1:12">
      <c r="A170"/>
      <c r="B170"/>
      <c r="C170"/>
      <c r="D170"/>
      <c r="E170"/>
      <c r="F170"/>
      <c r="G170"/>
      <c r="H170"/>
      <c r="I170"/>
      <c r="J170"/>
      <c r="K170"/>
      <c r="L170"/>
    </row>
    <row r="171" spans="1:12">
      <c r="A171"/>
      <c r="B171"/>
      <c r="C171"/>
      <c r="D171"/>
      <c r="E171"/>
      <c r="F171"/>
      <c r="G171"/>
      <c r="H171"/>
      <c r="I171"/>
      <c r="J171"/>
      <c r="K171"/>
      <c r="L171"/>
    </row>
    <row r="172" spans="1:12">
      <c r="A172"/>
      <c r="B172"/>
      <c r="C172"/>
      <c r="D172"/>
      <c r="E172"/>
      <c r="F172"/>
      <c r="G172"/>
      <c r="H172"/>
      <c r="I172"/>
      <c r="J172"/>
      <c r="K172"/>
      <c r="L172"/>
    </row>
    <row r="173" spans="1:12">
      <c r="A173"/>
      <c r="B173"/>
      <c r="C173"/>
      <c r="D173"/>
      <c r="E173"/>
      <c r="F173"/>
      <c r="G173"/>
      <c r="H173"/>
      <c r="I173"/>
      <c r="J173"/>
      <c r="K173"/>
      <c r="L173"/>
    </row>
    <row r="174" spans="1:12">
      <c r="A174"/>
      <c r="B174"/>
      <c r="C174"/>
      <c r="D174"/>
      <c r="E174"/>
      <c r="F174"/>
      <c r="G174"/>
      <c r="H174"/>
      <c r="I174"/>
      <c r="J174"/>
      <c r="K174"/>
      <c r="L174"/>
    </row>
    <row r="175" spans="1:12">
      <c r="A175"/>
      <c r="B175"/>
      <c r="C175"/>
      <c r="D175"/>
      <c r="E175"/>
      <c r="F175"/>
      <c r="G175"/>
      <c r="H175"/>
      <c r="I175"/>
      <c r="J175"/>
      <c r="K175"/>
      <c r="L175"/>
    </row>
    <row r="176" spans="1:12">
      <c r="A176"/>
      <c r="B176"/>
      <c r="C176"/>
      <c r="D176"/>
      <c r="E176"/>
      <c r="F176"/>
      <c r="G176"/>
      <c r="H176"/>
      <c r="I176"/>
      <c r="J176"/>
      <c r="K176"/>
      <c r="L176"/>
    </row>
    <row r="177" spans="1:12">
      <c r="A177"/>
      <c r="B177"/>
      <c r="C177"/>
      <c r="D177"/>
      <c r="E177"/>
      <c r="F177"/>
      <c r="G177"/>
      <c r="H177"/>
      <c r="I177"/>
      <c r="J177"/>
      <c r="K177"/>
      <c r="L177"/>
    </row>
    <row r="178" spans="1:12">
      <c r="A178"/>
      <c r="B178"/>
      <c r="C178"/>
      <c r="D178"/>
      <c r="E178"/>
      <c r="F178"/>
      <c r="G178"/>
      <c r="H178"/>
      <c r="I178"/>
      <c r="J178"/>
      <c r="K178"/>
      <c r="L178"/>
    </row>
    <row r="179" spans="1:12">
      <c r="A179"/>
      <c r="B179"/>
      <c r="C179"/>
      <c r="D179"/>
      <c r="E179"/>
      <c r="F179"/>
      <c r="G179"/>
      <c r="H179"/>
      <c r="I179"/>
      <c r="J179"/>
      <c r="K179"/>
      <c r="L179"/>
    </row>
    <row r="180" spans="1:12">
      <c r="A180"/>
      <c r="B180"/>
      <c r="C180"/>
      <c r="D180"/>
      <c r="E180"/>
      <c r="F180"/>
      <c r="G180"/>
      <c r="H180"/>
      <c r="I180"/>
      <c r="J180"/>
      <c r="K180"/>
      <c r="L180"/>
    </row>
    <row r="181" spans="1:12">
      <c r="A181"/>
      <c r="B181"/>
      <c r="C181"/>
      <c r="D181"/>
      <c r="E181"/>
      <c r="F181"/>
      <c r="G181"/>
      <c r="H181"/>
      <c r="I181"/>
      <c r="J181"/>
      <c r="K181"/>
      <c r="L181"/>
    </row>
    <row r="182" spans="1:12">
      <c r="A182"/>
      <c r="B182"/>
      <c r="C182"/>
      <c r="D182"/>
      <c r="E182"/>
      <c r="F182"/>
      <c r="G182"/>
      <c r="H182"/>
      <c r="I182"/>
      <c r="J182"/>
      <c r="K182"/>
      <c r="L182"/>
    </row>
    <row r="183" spans="1:12">
      <c r="A183"/>
      <c r="B183"/>
      <c r="C183"/>
      <c r="D183"/>
      <c r="E183"/>
      <c r="F183"/>
      <c r="G183"/>
      <c r="H183"/>
      <c r="I183"/>
      <c r="J183"/>
      <c r="K183"/>
      <c r="L183"/>
    </row>
    <row r="184" spans="1:12">
      <c r="A184"/>
      <c r="B184"/>
      <c r="C184"/>
      <c r="D184"/>
      <c r="E184"/>
      <c r="F184"/>
      <c r="G184"/>
      <c r="H184"/>
      <c r="I184"/>
      <c r="J184"/>
      <c r="K184"/>
      <c r="L184"/>
    </row>
    <row r="185" spans="1:12">
      <c r="A185"/>
      <c r="B185"/>
      <c r="C185"/>
      <c r="D185"/>
      <c r="E185"/>
      <c r="F185"/>
      <c r="G185"/>
      <c r="H185"/>
      <c r="I185"/>
      <c r="J185"/>
      <c r="K185"/>
      <c r="L185"/>
    </row>
    <row r="186" spans="1:12">
      <c r="A186"/>
      <c r="B186"/>
      <c r="C186"/>
      <c r="D186"/>
      <c r="E186"/>
      <c r="F186"/>
      <c r="G186"/>
      <c r="H186"/>
      <c r="I186"/>
      <c r="J186"/>
      <c r="K186"/>
      <c r="L186"/>
    </row>
    <row r="187" spans="1:12">
      <c r="A187"/>
      <c r="B187"/>
      <c r="C187"/>
      <c r="D187"/>
      <c r="E187"/>
      <c r="F187"/>
      <c r="G187"/>
      <c r="H187"/>
      <c r="I187"/>
      <c r="J187"/>
      <c r="K187"/>
      <c r="L187"/>
    </row>
    <row r="188" spans="1:12">
      <c r="A188"/>
      <c r="B188"/>
      <c r="C188"/>
      <c r="D188"/>
      <c r="E188"/>
      <c r="F188"/>
      <c r="G188"/>
      <c r="H188"/>
      <c r="I188"/>
      <c r="J188"/>
      <c r="K188"/>
      <c r="L188"/>
    </row>
    <row r="189" spans="1:12">
      <c r="A189"/>
      <c r="B189"/>
      <c r="C189"/>
      <c r="D189"/>
      <c r="E189"/>
      <c r="F189"/>
      <c r="G189"/>
      <c r="H189"/>
      <c r="I189"/>
      <c r="J189"/>
      <c r="K189"/>
      <c r="L189"/>
    </row>
    <row r="190" spans="1:12">
      <c r="A190"/>
      <c r="B190"/>
      <c r="C190"/>
      <c r="D190"/>
      <c r="E190"/>
      <c r="F190"/>
      <c r="G190"/>
      <c r="H190"/>
      <c r="I190"/>
      <c r="J190"/>
      <c r="K190"/>
      <c r="L190"/>
    </row>
    <row r="191" spans="1:12">
      <c r="A191"/>
      <c r="B191"/>
      <c r="C191"/>
      <c r="D191"/>
      <c r="E191"/>
      <c r="F191"/>
      <c r="G191"/>
      <c r="H191"/>
      <c r="I191"/>
      <c r="J191"/>
      <c r="K191"/>
      <c r="L191"/>
    </row>
    <row r="192" spans="1:12">
      <c r="A192"/>
      <c r="B192"/>
      <c r="C192"/>
      <c r="D192"/>
      <c r="E192"/>
      <c r="F192"/>
      <c r="G192"/>
      <c r="H192"/>
      <c r="I192"/>
      <c r="J192"/>
      <c r="K192"/>
      <c r="L192"/>
    </row>
    <row r="193" spans="1:12">
      <c r="A193"/>
      <c r="B193"/>
      <c r="C193"/>
      <c r="D193"/>
      <c r="E193"/>
      <c r="F193"/>
      <c r="G193"/>
      <c r="H193"/>
      <c r="I193"/>
      <c r="J193"/>
      <c r="K193"/>
      <c r="L193"/>
    </row>
    <row r="194" spans="1:12">
      <c r="A194"/>
      <c r="B194"/>
      <c r="C194"/>
      <c r="D194"/>
      <c r="E194"/>
      <c r="F194"/>
      <c r="G194"/>
      <c r="H194"/>
      <c r="I194"/>
      <c r="J194"/>
      <c r="K194"/>
      <c r="L194"/>
    </row>
    <row r="195" spans="1:12">
      <c r="A195"/>
      <c r="B195"/>
      <c r="C195"/>
      <c r="D195"/>
      <c r="E195"/>
      <c r="F195"/>
      <c r="G195"/>
      <c r="H195"/>
      <c r="I195"/>
      <c r="J195"/>
      <c r="K195"/>
      <c r="L195"/>
    </row>
    <row r="196" spans="1:12">
      <c r="A196"/>
      <c r="B196"/>
      <c r="C196"/>
      <c r="D196"/>
      <c r="E196"/>
      <c r="F196"/>
      <c r="G196"/>
      <c r="H196"/>
      <c r="I196"/>
      <c r="J196"/>
      <c r="K196"/>
      <c r="L196"/>
    </row>
    <row r="197" spans="1:12">
      <c r="A197"/>
      <c r="B197"/>
      <c r="C197"/>
      <c r="D197"/>
      <c r="E197"/>
      <c r="F197"/>
      <c r="G197"/>
      <c r="H197"/>
      <c r="I197"/>
      <c r="J197"/>
      <c r="K197"/>
      <c r="L197"/>
    </row>
    <row r="198" spans="1:12">
      <c r="A198"/>
      <c r="B198"/>
      <c r="C198"/>
      <c r="D198"/>
      <c r="E198"/>
      <c r="F198"/>
      <c r="G198"/>
      <c r="H198"/>
      <c r="I198"/>
      <c r="J198"/>
      <c r="K198"/>
      <c r="L198"/>
    </row>
    <row r="199" spans="1:12">
      <c r="A199"/>
      <c r="B199"/>
      <c r="C199"/>
      <c r="D199"/>
      <c r="E199"/>
      <c r="F199"/>
      <c r="G199"/>
      <c r="H199"/>
      <c r="I199"/>
      <c r="J199"/>
      <c r="K199"/>
      <c r="L199"/>
    </row>
    <row r="200" spans="1:12">
      <c r="A200"/>
      <c r="B200"/>
      <c r="C200"/>
      <c r="D200"/>
      <c r="E200"/>
      <c r="F200"/>
      <c r="G200"/>
      <c r="H200"/>
      <c r="I200"/>
      <c r="J200"/>
      <c r="K200"/>
      <c r="L200"/>
    </row>
    <row r="201" spans="1:12">
      <c r="A201"/>
      <c r="B201"/>
      <c r="C201"/>
      <c r="D201"/>
      <c r="E201"/>
      <c r="F201"/>
      <c r="G201"/>
      <c r="H201"/>
      <c r="I201"/>
      <c r="J201"/>
      <c r="K201"/>
      <c r="L201"/>
    </row>
    <row r="202" spans="1:12">
      <c r="A202"/>
      <c r="B202"/>
      <c r="C202"/>
      <c r="D202"/>
      <c r="E202"/>
      <c r="F202"/>
      <c r="G202"/>
      <c r="H202"/>
      <c r="I202"/>
      <c r="J202"/>
      <c r="K202"/>
      <c r="L202"/>
    </row>
    <row r="203" spans="1:12">
      <c r="A203"/>
      <c r="B203"/>
      <c r="C203"/>
      <c r="D203"/>
      <c r="E203"/>
      <c r="F203"/>
      <c r="G203"/>
      <c r="H203"/>
      <c r="I203"/>
      <c r="J203"/>
      <c r="K203"/>
      <c r="L203"/>
    </row>
    <row r="204" spans="1:12">
      <c r="A204"/>
      <c r="B204"/>
      <c r="C204"/>
      <c r="D204"/>
      <c r="E204"/>
      <c r="F204"/>
      <c r="G204"/>
      <c r="H204"/>
      <c r="I204"/>
      <c r="J204"/>
      <c r="K204"/>
      <c r="L204"/>
    </row>
    <row r="205" spans="1:12">
      <c r="A205"/>
      <c r="B205"/>
      <c r="C205"/>
      <c r="D205"/>
      <c r="E205"/>
      <c r="F205"/>
      <c r="G205"/>
      <c r="H205"/>
      <c r="I205"/>
      <c r="J205"/>
      <c r="K205"/>
      <c r="L205"/>
    </row>
    <row r="206" spans="1:12">
      <c r="A206"/>
      <c r="B206"/>
      <c r="C206"/>
      <c r="D206"/>
      <c r="E206"/>
      <c r="F206"/>
      <c r="G206"/>
      <c r="H206"/>
      <c r="I206"/>
      <c r="J206"/>
      <c r="K206"/>
      <c r="L206"/>
    </row>
    <row r="207" spans="1:12">
      <c r="A207"/>
      <c r="B207"/>
      <c r="C207"/>
      <c r="D207"/>
      <c r="E207"/>
      <c r="F207"/>
      <c r="G207"/>
      <c r="H207"/>
      <c r="I207"/>
      <c r="J207"/>
      <c r="K207"/>
      <c r="L207"/>
    </row>
    <row r="208" spans="1:12">
      <c r="A208"/>
      <c r="B208"/>
      <c r="C208"/>
      <c r="D208"/>
      <c r="E208"/>
      <c r="F208"/>
      <c r="G208"/>
      <c r="H208"/>
      <c r="I208"/>
      <c r="J208"/>
      <c r="K208"/>
      <c r="L208"/>
    </row>
    <row r="209" spans="1:12">
      <c r="A209"/>
      <c r="B209"/>
      <c r="C209"/>
      <c r="D209"/>
      <c r="E209"/>
      <c r="F209"/>
      <c r="G209"/>
      <c r="H209"/>
      <c r="I209"/>
      <c r="J209"/>
      <c r="K209"/>
      <c r="L209"/>
    </row>
    <row r="210" spans="1:12">
      <c r="A210"/>
      <c r="B210"/>
      <c r="C210"/>
      <c r="D210"/>
      <c r="E210"/>
      <c r="F210"/>
      <c r="G210"/>
      <c r="H210"/>
      <c r="I210"/>
      <c r="J210"/>
      <c r="K210"/>
      <c r="L210"/>
    </row>
    <row r="211" spans="1:12">
      <c r="A211"/>
      <c r="B211"/>
      <c r="C211"/>
      <c r="D211"/>
      <c r="E211"/>
      <c r="F211"/>
      <c r="G211"/>
      <c r="H211"/>
      <c r="I211"/>
      <c r="J211"/>
      <c r="K211"/>
      <c r="L211"/>
    </row>
    <row r="212" spans="1:12">
      <c r="A212"/>
      <c r="B212"/>
      <c r="C212"/>
      <c r="D212"/>
      <c r="E212"/>
      <c r="F212"/>
      <c r="G212"/>
      <c r="H212"/>
      <c r="I212"/>
      <c r="J212"/>
      <c r="K212"/>
      <c r="L212"/>
    </row>
    <row r="213" spans="1:12">
      <c r="A213"/>
      <c r="B213"/>
      <c r="C213"/>
      <c r="D213"/>
      <c r="E213"/>
      <c r="F213"/>
      <c r="G213"/>
      <c r="H213"/>
      <c r="I213"/>
      <c r="J213"/>
      <c r="K213"/>
      <c r="L213"/>
    </row>
    <row r="214" spans="1:12">
      <c r="A214"/>
      <c r="B214"/>
      <c r="C214"/>
      <c r="D214"/>
      <c r="E214"/>
      <c r="F214"/>
      <c r="G214"/>
      <c r="H214"/>
      <c r="I214"/>
      <c r="J214"/>
      <c r="K214"/>
      <c r="L214"/>
    </row>
    <row r="215" spans="1:12">
      <c r="A215"/>
      <c r="B215"/>
      <c r="C215"/>
      <c r="D215"/>
      <c r="E215"/>
      <c r="F215"/>
      <c r="G215"/>
      <c r="H215"/>
      <c r="I215"/>
      <c r="J215"/>
      <c r="K215"/>
      <c r="L215"/>
    </row>
    <row r="216" spans="1:12">
      <c r="A216"/>
      <c r="B216"/>
      <c r="C216"/>
      <c r="D216"/>
      <c r="E216"/>
      <c r="F216"/>
      <c r="G216"/>
      <c r="H216"/>
      <c r="I216"/>
      <c r="J216"/>
      <c r="K216"/>
      <c r="L216"/>
    </row>
    <row r="217" spans="1:12">
      <c r="A217"/>
      <c r="B217"/>
      <c r="C217"/>
      <c r="D217"/>
      <c r="E217"/>
      <c r="F217"/>
      <c r="G217"/>
      <c r="H217"/>
      <c r="I217"/>
      <c r="J217"/>
      <c r="K217"/>
      <c r="L217"/>
    </row>
    <row r="218" spans="1:12">
      <c r="A218"/>
      <c r="B218"/>
      <c r="C218"/>
      <c r="D218"/>
      <c r="E218"/>
      <c r="F218"/>
      <c r="G218"/>
      <c r="H218"/>
      <c r="I218"/>
      <c r="J218"/>
      <c r="K218"/>
      <c r="L218"/>
    </row>
    <row r="219" spans="1:12">
      <c r="A219"/>
      <c r="B219"/>
      <c r="C219"/>
      <c r="D219"/>
      <c r="E219"/>
      <c r="F219"/>
      <c r="G219"/>
      <c r="H219"/>
      <c r="I219"/>
      <c r="J219"/>
      <c r="K219"/>
      <c r="L219"/>
    </row>
    <row r="220" spans="1:12">
      <c r="A220"/>
      <c r="B220"/>
      <c r="C220"/>
      <c r="D220"/>
      <c r="E220"/>
      <c r="F220"/>
      <c r="G220"/>
      <c r="H220"/>
      <c r="I220"/>
      <c r="J220"/>
      <c r="K220"/>
      <c r="L220"/>
    </row>
    <row r="221" spans="1:12">
      <c r="A221"/>
      <c r="B221"/>
      <c r="C221"/>
      <c r="D221"/>
      <c r="E221"/>
      <c r="F221"/>
      <c r="G221"/>
      <c r="H221"/>
      <c r="I221"/>
      <c r="J221"/>
      <c r="K221"/>
      <c r="L221"/>
    </row>
    <row r="222" spans="1:12">
      <c r="A222"/>
      <c r="B222"/>
      <c r="C222"/>
      <c r="D222"/>
      <c r="E222"/>
      <c r="F222"/>
      <c r="G222"/>
      <c r="H222"/>
      <c r="I222"/>
      <c r="J222"/>
      <c r="K222"/>
      <c r="L222"/>
    </row>
    <row r="223" spans="1:12">
      <c r="A223"/>
      <c r="B223"/>
      <c r="C223"/>
      <c r="D223"/>
      <c r="E223"/>
      <c r="F223"/>
      <c r="G223"/>
      <c r="H223"/>
      <c r="I223"/>
      <c r="J223"/>
      <c r="K223"/>
      <c r="L223"/>
    </row>
    <row r="224" spans="1:12">
      <c r="A224"/>
      <c r="B224"/>
      <c r="C224"/>
      <c r="D224"/>
      <c r="E224"/>
      <c r="F224"/>
      <c r="G224"/>
      <c r="H224"/>
      <c r="I224"/>
      <c r="J224"/>
      <c r="K224"/>
      <c r="L224"/>
    </row>
    <row r="225" spans="1:12">
      <c r="A225"/>
      <c r="B225"/>
      <c r="C225"/>
      <c r="D225"/>
      <c r="E225"/>
      <c r="F225"/>
      <c r="G225"/>
      <c r="H225"/>
      <c r="I225"/>
      <c r="J225"/>
      <c r="K225"/>
      <c r="L225"/>
    </row>
    <row r="226" spans="1:12">
      <c r="A226"/>
      <c r="B226"/>
      <c r="C226"/>
      <c r="D226"/>
      <c r="E226"/>
      <c r="F226"/>
      <c r="G226"/>
      <c r="H226"/>
      <c r="I226"/>
      <c r="J226"/>
      <c r="K226"/>
      <c r="L226"/>
    </row>
    <row r="227" spans="1:12">
      <c r="A227"/>
      <c r="B227"/>
      <c r="C227"/>
      <c r="D227"/>
      <c r="E227"/>
      <c r="F227"/>
      <c r="G227"/>
      <c r="H227"/>
      <c r="I227"/>
      <c r="J227"/>
      <c r="K227"/>
      <c r="L227"/>
    </row>
    <row r="228" spans="1:12">
      <c r="A228"/>
      <c r="B228"/>
      <c r="C228"/>
      <c r="D228"/>
      <c r="E228"/>
      <c r="F228"/>
      <c r="G228"/>
      <c r="H228"/>
      <c r="I228"/>
      <c r="J228"/>
      <c r="K228"/>
      <c r="L228"/>
    </row>
    <row r="229" spans="1:12">
      <c r="A229"/>
      <c r="B229"/>
      <c r="C229"/>
      <c r="D229"/>
      <c r="E229"/>
      <c r="F229"/>
      <c r="G229"/>
      <c r="H229"/>
      <c r="I229"/>
      <c r="J229"/>
      <c r="K229"/>
      <c r="L229"/>
    </row>
    <row r="230" spans="1:12">
      <c r="A230"/>
      <c r="B230"/>
      <c r="C230"/>
      <c r="D230"/>
      <c r="E230"/>
      <c r="F230"/>
      <c r="G230"/>
      <c r="H230"/>
      <c r="I230"/>
      <c r="J230"/>
      <c r="K230"/>
      <c r="L230"/>
    </row>
    <row r="231" spans="1:12">
      <c r="A231"/>
      <c r="B231"/>
      <c r="C231"/>
      <c r="D231"/>
      <c r="E231"/>
      <c r="F231"/>
      <c r="G231"/>
      <c r="H231"/>
      <c r="I231"/>
      <c r="J231"/>
      <c r="K231"/>
      <c r="L231"/>
    </row>
    <row r="232" spans="1:12">
      <c r="A232"/>
      <c r="B232"/>
      <c r="C232"/>
      <c r="D232"/>
      <c r="E232"/>
      <c r="F232"/>
      <c r="G232"/>
      <c r="H232"/>
      <c r="I232"/>
      <c r="J232"/>
      <c r="K232"/>
      <c r="L232"/>
    </row>
    <row r="233" spans="1:12">
      <c r="A233"/>
      <c r="B233"/>
      <c r="C233"/>
      <c r="D233"/>
      <c r="E233"/>
      <c r="F233"/>
      <c r="G233"/>
      <c r="H233"/>
      <c r="I233"/>
      <c r="J233"/>
      <c r="K233"/>
      <c r="L233"/>
    </row>
    <row r="234" spans="1:12">
      <c r="A234"/>
      <c r="B234"/>
      <c r="C234"/>
      <c r="D234"/>
      <c r="E234"/>
      <c r="F234"/>
      <c r="G234"/>
      <c r="H234"/>
      <c r="I234"/>
      <c r="J234"/>
      <c r="K234"/>
      <c r="L234"/>
    </row>
    <row r="235" spans="1:12">
      <c r="A235"/>
      <c r="B235"/>
      <c r="C235"/>
      <c r="D235"/>
      <c r="E235"/>
      <c r="F235"/>
      <c r="G235"/>
      <c r="H235"/>
      <c r="I235"/>
      <c r="J235"/>
      <c r="K235"/>
      <c r="L235"/>
    </row>
    <row r="236" spans="1:12">
      <c r="A236"/>
      <c r="B236"/>
      <c r="C236"/>
      <c r="D236"/>
      <c r="E236"/>
      <c r="F236"/>
      <c r="G236"/>
      <c r="H236"/>
      <c r="I236"/>
      <c r="J236"/>
      <c r="K236"/>
      <c r="L236"/>
    </row>
    <row r="237" spans="1:12">
      <c r="A237"/>
      <c r="B237"/>
      <c r="C237"/>
      <c r="D237"/>
      <c r="E237"/>
      <c r="F237"/>
      <c r="G237"/>
      <c r="H237"/>
      <c r="I237"/>
      <c r="J237"/>
      <c r="K237"/>
      <c r="L237"/>
    </row>
    <row r="238" spans="1:12">
      <c r="A238"/>
      <c r="B238"/>
      <c r="C238"/>
      <c r="D238"/>
      <c r="E238"/>
      <c r="F238"/>
      <c r="G238"/>
      <c r="H238"/>
      <c r="I238"/>
      <c r="J238"/>
      <c r="K238"/>
      <c r="L238"/>
    </row>
    <row r="239" spans="1:12">
      <c r="A239"/>
      <c r="B239"/>
      <c r="C239"/>
      <c r="D239"/>
      <c r="E239"/>
      <c r="F239"/>
      <c r="G239"/>
      <c r="H239"/>
      <c r="I239"/>
      <c r="J239"/>
      <c r="K239"/>
      <c r="L239"/>
    </row>
    <row r="240" spans="1:12">
      <c r="A240"/>
      <c r="B240"/>
      <c r="C240"/>
      <c r="D240"/>
      <c r="E240"/>
      <c r="F240"/>
      <c r="G240"/>
      <c r="H240"/>
      <c r="I240"/>
      <c r="J240"/>
      <c r="K240"/>
      <c r="L240"/>
    </row>
    <row r="241" spans="1:12">
      <c r="A241"/>
      <c r="B241"/>
      <c r="C241"/>
      <c r="D241"/>
      <c r="E241"/>
      <c r="F241"/>
      <c r="G241"/>
      <c r="H241"/>
      <c r="I241"/>
      <c r="J241"/>
      <c r="K241"/>
      <c r="L241"/>
    </row>
    <row r="242" spans="1:12">
      <c r="A242"/>
      <c r="B242"/>
      <c r="C242"/>
      <c r="D242"/>
      <c r="E242"/>
      <c r="F242"/>
      <c r="G242"/>
      <c r="H242"/>
      <c r="I242"/>
      <c r="J242"/>
      <c r="K242"/>
      <c r="L242"/>
    </row>
    <row r="243" spans="1:12">
      <c r="A243"/>
      <c r="B243"/>
      <c r="C243"/>
      <c r="D243"/>
      <c r="E243"/>
      <c r="F243"/>
      <c r="G243"/>
      <c r="H243"/>
      <c r="I243"/>
      <c r="J243"/>
      <c r="K243"/>
      <c r="L243"/>
    </row>
    <row r="244" spans="1:12">
      <c r="A244"/>
      <c r="B244"/>
      <c r="C244"/>
      <c r="D244"/>
      <c r="E244"/>
      <c r="F244"/>
      <c r="G244"/>
      <c r="H244"/>
      <c r="I244"/>
      <c r="J244"/>
      <c r="K244"/>
      <c r="L244"/>
    </row>
    <row r="245" spans="1:12">
      <c r="A245"/>
      <c r="B245"/>
      <c r="C245"/>
      <c r="D245"/>
      <c r="E245"/>
      <c r="F245"/>
      <c r="G245"/>
      <c r="H245"/>
      <c r="I245"/>
      <c r="J245"/>
      <c r="K245"/>
      <c r="L245"/>
    </row>
    <row r="246" spans="1:12">
      <c r="A246"/>
      <c r="B246"/>
      <c r="C246"/>
      <c r="D246"/>
      <c r="E246"/>
      <c r="F246"/>
      <c r="G246"/>
      <c r="H246"/>
      <c r="I246"/>
      <c r="J246"/>
      <c r="K246"/>
      <c r="L246"/>
    </row>
    <row r="247" spans="1:12">
      <c r="A247"/>
      <c r="B247"/>
      <c r="C247"/>
      <c r="D247"/>
      <c r="E247"/>
      <c r="F247"/>
      <c r="G247"/>
      <c r="H247"/>
      <c r="I247"/>
      <c r="J247"/>
      <c r="K247"/>
      <c r="L247"/>
    </row>
    <row r="248" spans="1:12">
      <c r="A248"/>
      <c r="B248"/>
      <c r="C248"/>
      <c r="D248"/>
      <c r="E248"/>
      <c r="F248"/>
      <c r="G248"/>
      <c r="H248"/>
      <c r="I248"/>
      <c r="J248"/>
      <c r="K248"/>
      <c r="L248"/>
    </row>
    <row r="249" spans="1:12">
      <c r="A249"/>
      <c r="B249"/>
      <c r="C249"/>
      <c r="D249"/>
      <c r="E249"/>
      <c r="F249"/>
      <c r="G249"/>
      <c r="H249"/>
      <c r="I249"/>
      <c r="J249"/>
      <c r="K249"/>
      <c r="L249"/>
    </row>
  </sheetData>
  <mergeCells count="4">
    <mergeCell ref="A3:L3"/>
    <mergeCell ref="A5:L5"/>
    <mergeCell ref="B8:C8"/>
    <mergeCell ref="D8:E8"/>
  </mergeCells>
  <pageMargins left="0.7" right="0.7" top="0.75" bottom="0.75" header="0.3" footer="0.3"/>
  <pageSetup orientation="portrait" horizontalDpi="0"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4A606-9D51-465A-8941-5741C6BF71C4}">
  <dimension ref="A1:BW262"/>
  <sheetViews>
    <sheetView zoomScaleNormal="100" workbookViewId="0"/>
  </sheetViews>
  <sheetFormatPr defaultColWidth="9.109375" defaultRowHeight="15.6"/>
  <cols>
    <col min="1" max="1" width="9.109375" style="1"/>
    <col min="2" max="2" width="12.6640625" style="1" customWidth="1"/>
    <col min="3" max="4" width="14.5546875" style="1" customWidth="1"/>
    <col min="5" max="6" width="13.5546875" style="1" customWidth="1"/>
    <col min="7" max="7" width="13.5546875" style="1" bestFit="1" customWidth="1"/>
    <col min="8" max="12" width="12.6640625" style="1" customWidth="1"/>
    <col min="13" max="13" width="9.109375" customWidth="1"/>
    <col min="76" max="16384" width="9.109375" style="1"/>
  </cols>
  <sheetData>
    <row r="1" spans="1:12" ht="15.75" customHeight="1">
      <c r="A1" s="23" t="s">
        <v>1201</v>
      </c>
      <c r="B1" s="22"/>
      <c r="C1" s="5" t="s">
        <v>38</v>
      </c>
      <c r="D1" s="22"/>
      <c r="E1" s="22"/>
      <c r="F1" s="22"/>
      <c r="G1" s="22"/>
      <c r="H1" s="22"/>
      <c r="I1" s="22"/>
      <c r="J1" s="22"/>
      <c r="K1" s="22"/>
      <c r="L1" s="2"/>
    </row>
    <row r="2" spans="1:12" ht="15.75" customHeight="1">
      <c r="A2" s="497"/>
      <c r="B2" s="22"/>
      <c r="C2" s="5"/>
      <c r="D2" s="497"/>
      <c r="E2" s="497"/>
      <c r="F2" s="497"/>
      <c r="G2" s="497"/>
      <c r="H2" s="497"/>
      <c r="I2" s="497"/>
      <c r="J2" s="497"/>
      <c r="K2" s="497"/>
      <c r="L2" s="701"/>
    </row>
    <row r="3" spans="1:12" ht="31.5" customHeight="1">
      <c r="A3" s="1733" t="s">
        <v>2677</v>
      </c>
      <c r="B3" s="1733"/>
      <c r="C3" s="1733"/>
      <c r="D3" s="1733"/>
      <c r="E3" s="1733"/>
      <c r="F3" s="1733"/>
      <c r="G3" s="1733"/>
      <c r="H3" s="1733"/>
      <c r="I3" s="1733"/>
      <c r="J3" s="1733"/>
      <c r="K3" s="1733"/>
      <c r="L3" s="1733"/>
    </row>
    <row r="4" spans="1:12" ht="15.75" customHeight="1">
      <c r="A4" s="163"/>
      <c r="B4" s="163"/>
      <c r="C4" s="163"/>
      <c r="D4" s="163"/>
      <c r="E4" s="163"/>
      <c r="F4" s="163"/>
      <c r="G4" s="163"/>
      <c r="H4" s="163"/>
      <c r="I4" s="163"/>
      <c r="J4" s="163"/>
      <c r="K4" s="163"/>
      <c r="L4" s="163"/>
    </row>
    <row r="5" spans="1:12">
      <c r="A5" s="162" t="s">
        <v>2676</v>
      </c>
      <c r="B5" s="163"/>
      <c r="C5" s="163"/>
      <c r="D5" s="163"/>
      <c r="E5" s="163"/>
      <c r="F5" s="163"/>
      <c r="G5" s="163"/>
      <c r="H5" s="163"/>
      <c r="I5" s="163"/>
      <c r="J5" s="163"/>
      <c r="K5" s="163"/>
      <c r="L5" s="163"/>
    </row>
    <row r="6" spans="1:12" ht="15.75" customHeight="1">
      <c r="A6" s="162"/>
      <c r="B6" s="162"/>
      <c r="C6" s="162"/>
      <c r="D6" s="162"/>
      <c r="E6" s="162"/>
      <c r="F6" s="162"/>
      <c r="G6" s="162"/>
      <c r="H6" s="162"/>
      <c r="I6" s="162"/>
      <c r="J6" s="162"/>
      <c r="K6" s="162"/>
      <c r="L6" s="162"/>
    </row>
    <row r="7" spans="1:12" ht="15.75" customHeight="1">
      <c r="A7" s="162"/>
      <c r="B7" s="686"/>
      <c r="C7" s="686"/>
      <c r="D7" s="686" t="s">
        <v>2666</v>
      </c>
      <c r="E7" s="686" t="s">
        <v>2666</v>
      </c>
      <c r="F7" s="686" t="s">
        <v>2675</v>
      </c>
      <c r="G7" s="686" t="s">
        <v>2675</v>
      </c>
      <c r="H7" s="162"/>
      <c r="I7" s="162"/>
      <c r="J7" s="162"/>
      <c r="K7" s="162"/>
      <c r="L7" s="162"/>
    </row>
    <row r="8" spans="1:12" ht="15.75" customHeight="1">
      <c r="A8" s="162"/>
      <c r="B8" s="684" t="s">
        <v>2664</v>
      </c>
      <c r="C8" s="684" t="s">
        <v>1952</v>
      </c>
      <c r="D8" s="684" t="s">
        <v>2674</v>
      </c>
      <c r="E8" s="684" t="s">
        <v>2673</v>
      </c>
      <c r="F8" s="684" t="s">
        <v>2672</v>
      </c>
      <c r="G8" s="684" t="s">
        <v>2671</v>
      </c>
      <c r="H8" s="162"/>
      <c r="I8" s="162"/>
      <c r="J8" s="162"/>
      <c r="K8" s="162"/>
      <c r="L8" s="162"/>
    </row>
    <row r="9" spans="1:12" ht="15.75" customHeight="1">
      <c r="A9" s="162"/>
      <c r="B9" s="133">
        <v>1</v>
      </c>
      <c r="C9" s="1056">
        <v>4.4999999999999998E-2</v>
      </c>
      <c r="D9" s="132">
        <v>200000</v>
      </c>
      <c r="E9" s="132">
        <v>85000</v>
      </c>
      <c r="F9" s="132">
        <v>80000</v>
      </c>
      <c r="G9" s="132">
        <v>110000</v>
      </c>
      <c r="H9" s="162"/>
      <c r="I9" s="162"/>
      <c r="J9" s="162"/>
      <c r="K9" s="162"/>
      <c r="L9" s="162"/>
    </row>
    <row r="10" spans="1:12" ht="15.75" customHeight="1">
      <c r="A10" s="162"/>
      <c r="B10" s="133">
        <v>2</v>
      </c>
      <c r="C10" s="1056">
        <v>2.5000000000000001E-2</v>
      </c>
      <c r="D10" s="132">
        <v>320000</v>
      </c>
      <c r="E10" s="132">
        <v>5000</v>
      </c>
      <c r="F10" s="132">
        <v>120000</v>
      </c>
      <c r="G10" s="132">
        <v>20000</v>
      </c>
      <c r="H10" s="162"/>
      <c r="I10" s="162"/>
      <c r="J10" s="162"/>
      <c r="K10" s="162"/>
      <c r="L10" s="162"/>
    </row>
    <row r="11" spans="1:12" ht="15.75" customHeight="1">
      <c r="A11" s="162"/>
      <c r="B11" s="133">
        <v>3</v>
      </c>
      <c r="C11" s="1056">
        <v>0.02</v>
      </c>
      <c r="D11" s="132">
        <v>125000</v>
      </c>
      <c r="E11" s="132">
        <v>360000</v>
      </c>
      <c r="F11" s="132">
        <v>45000</v>
      </c>
      <c r="G11" s="132">
        <v>75000</v>
      </c>
      <c r="H11" s="162"/>
      <c r="I11" s="162"/>
      <c r="J11" s="162"/>
      <c r="K11" s="162"/>
      <c r="L11" s="162"/>
    </row>
    <row r="12" spans="1:12" ht="15.75" customHeight="1">
      <c r="A12" s="162"/>
      <c r="B12" s="133">
        <v>4</v>
      </c>
      <c r="C12" s="1056">
        <v>0.01</v>
      </c>
      <c r="D12" s="132">
        <v>750000</v>
      </c>
      <c r="E12" s="132">
        <v>30000</v>
      </c>
      <c r="F12" s="132">
        <v>250000</v>
      </c>
      <c r="G12" s="132">
        <v>215000</v>
      </c>
      <c r="H12" s="162"/>
      <c r="I12" s="162"/>
      <c r="J12" s="162"/>
      <c r="K12" s="162"/>
      <c r="L12" s="162"/>
    </row>
    <row r="13" spans="1:12" ht="15.75" customHeight="1">
      <c r="A13" s="162"/>
      <c r="B13" s="162"/>
      <c r="C13" s="162"/>
      <c r="D13" s="162"/>
      <c r="E13" s="162"/>
      <c r="F13" s="162"/>
      <c r="G13" s="162"/>
      <c r="H13" s="162"/>
      <c r="I13" s="162"/>
      <c r="J13" s="162"/>
      <c r="K13" s="162"/>
      <c r="L13" s="162"/>
    </row>
    <row r="14" spans="1:12" ht="15.75" customHeight="1">
      <c r="A14" s="162" t="s">
        <v>2670</v>
      </c>
      <c r="B14" s="162"/>
      <c r="C14" s="162"/>
      <c r="D14" s="162"/>
      <c r="E14" s="162"/>
      <c r="F14" s="162"/>
      <c r="G14" s="162"/>
      <c r="H14" s="162"/>
      <c r="I14" s="162"/>
      <c r="J14" s="162"/>
      <c r="K14" s="162"/>
      <c r="L14" s="162"/>
    </row>
    <row r="15" spans="1:12" ht="15.75" customHeight="1">
      <c r="A15" s="162"/>
      <c r="B15" s="162"/>
      <c r="C15" s="162"/>
      <c r="D15" s="162"/>
      <c r="E15" s="162"/>
      <c r="F15" s="162"/>
      <c r="G15" s="162"/>
      <c r="H15" s="162"/>
      <c r="I15" s="162"/>
      <c r="J15" s="162"/>
      <c r="K15" s="162"/>
      <c r="L15" s="162"/>
    </row>
    <row r="16" spans="1:12" ht="15.75" customHeight="1">
      <c r="A16" s="3"/>
      <c r="B16" s="3"/>
      <c r="C16" s="674" t="s">
        <v>2669</v>
      </c>
      <c r="D16" s="11">
        <v>2.0000000000000002E-5</v>
      </c>
      <c r="E16" s="3"/>
      <c r="F16" s="3"/>
      <c r="G16" s="3"/>
      <c r="H16" s="3"/>
      <c r="I16" s="3"/>
      <c r="J16" s="3"/>
      <c r="K16" s="1224"/>
      <c r="L16" s="3"/>
    </row>
    <row r="17" spans="1:12" ht="15.75" customHeight="1">
      <c r="A17" s="3"/>
      <c r="B17" s="3"/>
      <c r="C17" s="1196"/>
      <c r="D17" s="3"/>
      <c r="E17" s="3"/>
      <c r="F17" s="3"/>
      <c r="G17" s="3"/>
      <c r="H17" s="3"/>
      <c r="I17" s="3"/>
      <c r="J17" s="3"/>
      <c r="K17" s="1224"/>
      <c r="L17" s="3"/>
    </row>
    <row r="18" spans="1:12" ht="15.75" customHeight="1">
      <c r="A18" s="3" t="s">
        <v>80</v>
      </c>
      <c r="B18" s="3" t="s">
        <v>2668</v>
      </c>
      <c r="C18" s="3"/>
      <c r="D18" s="3"/>
      <c r="E18" s="3"/>
      <c r="F18" s="3"/>
      <c r="G18" s="3"/>
      <c r="H18" s="3"/>
      <c r="I18" s="3"/>
      <c r="J18" s="3"/>
      <c r="K18" s="3"/>
      <c r="L18" s="2"/>
    </row>
    <row r="19" spans="1:12" ht="15.75" customHeight="1">
      <c r="A19" s="3"/>
      <c r="B19" s="760" t="s">
        <v>350</v>
      </c>
      <c r="C19" s="3" t="s">
        <v>2659</v>
      </c>
      <c r="D19" s="3"/>
      <c r="E19" s="3"/>
      <c r="F19" s="3"/>
      <c r="G19" s="3"/>
      <c r="H19" s="3"/>
      <c r="I19" s="3"/>
      <c r="J19" s="3"/>
      <c r="K19" s="3"/>
      <c r="L19" s="2"/>
    </row>
    <row r="20" spans="1:12" ht="15.75" customHeight="1">
      <c r="A20" s="3"/>
      <c r="B20" s="760" t="s">
        <v>344</v>
      </c>
      <c r="C20" s="3" t="s">
        <v>460</v>
      </c>
      <c r="D20" s="3"/>
      <c r="E20" s="3"/>
      <c r="F20" s="3"/>
      <c r="G20" s="3"/>
      <c r="H20" s="3"/>
      <c r="I20" s="3"/>
      <c r="J20" s="3"/>
      <c r="K20" s="3"/>
      <c r="L20" s="2"/>
    </row>
    <row r="21" spans="1:12" ht="15.75" customHeight="1">
      <c r="A21" s="3"/>
      <c r="B21" s="760" t="s">
        <v>974</v>
      </c>
      <c r="C21" s="3" t="s">
        <v>2667</v>
      </c>
      <c r="D21" s="3"/>
      <c r="E21" s="3"/>
      <c r="F21" s="3"/>
      <c r="G21" s="3"/>
      <c r="H21" s="3"/>
      <c r="I21" s="3"/>
      <c r="J21" s="3"/>
      <c r="K21" s="3"/>
      <c r="L21" s="2"/>
    </row>
    <row r="22" spans="1:12" ht="15.75" customHeight="1">
      <c r="A22" s="5"/>
      <c r="B22" s="5" t="s">
        <v>64</v>
      </c>
      <c r="C22" s="5"/>
      <c r="D22" s="4"/>
      <c r="E22" s="4"/>
      <c r="F22" s="4"/>
      <c r="G22" s="4"/>
      <c r="H22" s="3"/>
      <c r="I22" s="3"/>
      <c r="J22" s="2"/>
      <c r="K22" s="3"/>
      <c r="L22" s="2"/>
    </row>
    <row r="23" spans="1:12" ht="15.75" customHeight="1">
      <c r="A23"/>
      <c r="B23"/>
      <c r="C23"/>
      <c r="D23"/>
      <c r="E23"/>
      <c r="F23"/>
      <c r="G23"/>
      <c r="H23"/>
      <c r="I23"/>
      <c r="J23"/>
      <c r="K23"/>
      <c r="L23"/>
    </row>
    <row r="24" spans="1:12" ht="15.75" customHeight="1">
      <c r="A24"/>
      <c r="B24" s="457"/>
      <c r="C24" s="269"/>
      <c r="D24" s="1727" t="s">
        <v>2666</v>
      </c>
      <c r="E24" s="1728"/>
      <c r="F24" s="1728"/>
      <c r="G24" s="1729"/>
      <c r="H24" s="1727" t="s">
        <v>2665</v>
      </c>
      <c r="I24" s="1728"/>
      <c r="J24" s="1728"/>
      <c r="K24" s="1729"/>
      <c r="L24"/>
    </row>
    <row r="25" spans="1:12" ht="15.75" customHeight="1">
      <c r="A25"/>
      <c r="B25" s="269" t="s">
        <v>2664</v>
      </c>
      <c r="C25" s="269" t="s">
        <v>1952</v>
      </c>
      <c r="D25" s="269" t="s">
        <v>2663</v>
      </c>
      <c r="E25" s="269" t="s">
        <v>2662</v>
      </c>
      <c r="F25" s="269" t="s">
        <v>2661</v>
      </c>
      <c r="G25" s="269" t="s">
        <v>2660</v>
      </c>
      <c r="H25" s="269" t="s">
        <v>2663</v>
      </c>
      <c r="I25" s="269" t="s">
        <v>2662</v>
      </c>
      <c r="J25" s="269" t="s">
        <v>2661</v>
      </c>
      <c r="K25" s="269" t="s">
        <v>2660</v>
      </c>
      <c r="L25"/>
    </row>
    <row r="26" spans="1:12" ht="15.75" customHeight="1">
      <c r="A26"/>
      <c r="B26" s="269">
        <f t="shared" ref="B26:G29" si="0">B9</f>
        <v>1</v>
      </c>
      <c r="C26" s="1513">
        <f t="shared" si="0"/>
        <v>4.4999999999999998E-2</v>
      </c>
      <c r="D26" s="266">
        <f t="shared" si="0"/>
        <v>200000</v>
      </c>
      <c r="E26" s="266">
        <f t="shared" si="0"/>
        <v>85000</v>
      </c>
      <c r="F26" s="266">
        <f t="shared" si="0"/>
        <v>80000</v>
      </c>
      <c r="G26" s="266">
        <f t="shared" si="0"/>
        <v>110000</v>
      </c>
      <c r="H26" s="266">
        <f t="shared" ref="H26:K29" si="1">$C26*(1-$C26)*(D26^2)</f>
        <v>1719000000</v>
      </c>
      <c r="I26" s="266">
        <f t="shared" si="1"/>
        <v>310494375</v>
      </c>
      <c r="J26" s="266">
        <f t="shared" si="1"/>
        <v>275040000</v>
      </c>
      <c r="K26" s="266">
        <f t="shared" si="1"/>
        <v>519997500</v>
      </c>
      <c r="L26"/>
    </row>
    <row r="27" spans="1:12" ht="15.75" customHeight="1">
      <c r="A27"/>
      <c r="B27" s="269">
        <f t="shared" si="0"/>
        <v>2</v>
      </c>
      <c r="C27" s="1513">
        <f t="shared" si="0"/>
        <v>2.5000000000000001E-2</v>
      </c>
      <c r="D27" s="266">
        <f t="shared" si="0"/>
        <v>320000</v>
      </c>
      <c r="E27" s="266">
        <f t="shared" si="0"/>
        <v>5000</v>
      </c>
      <c r="F27" s="266">
        <f t="shared" si="0"/>
        <v>120000</v>
      </c>
      <c r="G27" s="266">
        <f t="shared" si="0"/>
        <v>20000</v>
      </c>
      <c r="H27" s="266">
        <f t="shared" si="1"/>
        <v>2496000000</v>
      </c>
      <c r="I27" s="266">
        <f t="shared" si="1"/>
        <v>609375</v>
      </c>
      <c r="J27" s="266">
        <f t="shared" si="1"/>
        <v>351000000</v>
      </c>
      <c r="K27" s="266">
        <f t="shared" si="1"/>
        <v>9750000</v>
      </c>
      <c r="L27"/>
    </row>
    <row r="28" spans="1:12" ht="15.75" customHeight="1">
      <c r="A28"/>
      <c r="B28" s="269">
        <f t="shared" si="0"/>
        <v>3</v>
      </c>
      <c r="C28" s="1513">
        <f t="shared" si="0"/>
        <v>0.02</v>
      </c>
      <c r="D28" s="266">
        <f t="shared" si="0"/>
        <v>125000</v>
      </c>
      <c r="E28" s="266">
        <f t="shared" si="0"/>
        <v>360000</v>
      </c>
      <c r="F28" s="266">
        <f t="shared" si="0"/>
        <v>45000</v>
      </c>
      <c r="G28" s="266">
        <f t="shared" si="0"/>
        <v>75000</v>
      </c>
      <c r="H28" s="266">
        <f t="shared" si="1"/>
        <v>306250000</v>
      </c>
      <c r="I28" s="266">
        <f t="shared" si="1"/>
        <v>2540160000</v>
      </c>
      <c r="J28" s="266">
        <f t="shared" si="1"/>
        <v>39690000</v>
      </c>
      <c r="K28" s="266">
        <f t="shared" si="1"/>
        <v>110250000</v>
      </c>
      <c r="L28"/>
    </row>
    <row r="29" spans="1:12" ht="15.75" customHeight="1">
      <c r="A29"/>
      <c r="B29" s="269">
        <f t="shared" si="0"/>
        <v>4</v>
      </c>
      <c r="C29" s="1513">
        <f t="shared" si="0"/>
        <v>0.01</v>
      </c>
      <c r="D29" s="266">
        <f t="shared" si="0"/>
        <v>750000</v>
      </c>
      <c r="E29" s="266">
        <f t="shared" si="0"/>
        <v>30000</v>
      </c>
      <c r="F29" s="266">
        <f t="shared" si="0"/>
        <v>250000</v>
      </c>
      <c r="G29" s="266">
        <f t="shared" si="0"/>
        <v>215000</v>
      </c>
      <c r="H29" s="266">
        <f t="shared" si="1"/>
        <v>5568750000</v>
      </c>
      <c r="I29" s="266">
        <f t="shared" si="1"/>
        <v>8910000</v>
      </c>
      <c r="J29" s="266">
        <f t="shared" si="1"/>
        <v>618750000</v>
      </c>
      <c r="K29" s="266">
        <f t="shared" si="1"/>
        <v>457627500.00000006</v>
      </c>
      <c r="L29"/>
    </row>
    <row r="30" spans="1:12" ht="15.75" customHeight="1">
      <c r="A30"/>
      <c r="B30"/>
      <c r="C30"/>
      <c r="D30"/>
      <c r="E30"/>
      <c r="F30"/>
      <c r="G30"/>
      <c r="H30"/>
      <c r="I30"/>
      <c r="J30"/>
      <c r="K30"/>
      <c r="L30"/>
    </row>
    <row r="31" spans="1:12" ht="15.75" customHeight="1">
      <c r="A31"/>
      <c r="B31" s="1510"/>
      <c r="C31" s="1510"/>
      <c r="D31" s="1511" t="s">
        <v>2663</v>
      </c>
      <c r="E31" s="1511" t="s">
        <v>2662</v>
      </c>
      <c r="F31" s="1511" t="s">
        <v>2661</v>
      </c>
      <c r="G31" s="1511" t="s">
        <v>2660</v>
      </c>
      <c r="H31"/>
      <c r="I31"/>
      <c r="J31"/>
      <c r="K31"/>
      <c r="L31"/>
    </row>
    <row r="32" spans="1:12" ht="15.75" customHeight="1">
      <c r="A32"/>
      <c r="B32" s="1511" t="s">
        <v>350</v>
      </c>
      <c r="C32" s="1510" t="s">
        <v>2659</v>
      </c>
      <c r="D32" s="1512">
        <f>SUMPRODUCT($C$26:$C$29,D26:D29)</f>
        <v>27000</v>
      </c>
      <c r="E32" s="1512">
        <f>SUMPRODUCT($C$26:$C$29,E26:E29)</f>
        <v>11450</v>
      </c>
      <c r="F32" s="1512">
        <f>SUMPRODUCT($C$26:$C$29,F26:F29)</f>
        <v>10000</v>
      </c>
      <c r="G32" s="1512">
        <f>SUMPRODUCT($C$26:$C$29,G26:G29)</f>
        <v>9100</v>
      </c>
      <c r="H32" s="86"/>
      <c r="I32" s="86"/>
      <c r="J32"/>
      <c r="K32"/>
      <c r="L32"/>
    </row>
    <row r="33" spans="1:12" ht="15.75" customHeight="1">
      <c r="A33"/>
      <c r="B33" s="1511" t="s">
        <v>344</v>
      </c>
      <c r="C33" s="1510" t="s">
        <v>460</v>
      </c>
      <c r="D33" s="1512">
        <f>SUM(H26:H29)</f>
        <v>10090000000</v>
      </c>
      <c r="E33" s="1512">
        <f>SUM(I26:I29)</f>
        <v>2860173750</v>
      </c>
      <c r="F33" s="1512">
        <f>SUM(J26:J29)</f>
        <v>1284480000</v>
      </c>
      <c r="G33" s="1512">
        <f>SUM(K26:K29)</f>
        <v>1097625000</v>
      </c>
      <c r="H33" s="86"/>
      <c r="I33"/>
      <c r="J33"/>
      <c r="K33"/>
      <c r="L33"/>
    </row>
    <row r="34" spans="1:12" ht="15.75" customHeight="1">
      <c r="A34"/>
      <c r="B34" s="1511" t="s">
        <v>974</v>
      </c>
      <c r="C34" s="1510" t="s">
        <v>252</v>
      </c>
      <c r="D34" s="1509">
        <f>D33^0.5/D32</f>
        <v>3.7203330381770918</v>
      </c>
      <c r="E34" s="1509">
        <f>E33^0.5/E32</f>
        <v>4.6707940850836058</v>
      </c>
      <c r="F34" s="1509">
        <f>F33^0.5/F32</f>
        <v>3.5839642855363389</v>
      </c>
      <c r="G34" s="1509">
        <f>G33^0.5/G32</f>
        <v>3.6407059433204405</v>
      </c>
      <c r="H34" s="86"/>
      <c r="I34"/>
      <c r="J34"/>
      <c r="K34"/>
      <c r="L34"/>
    </row>
    <row r="35" spans="1:12" ht="15.75" customHeight="1">
      <c r="A35"/>
      <c r="B35"/>
      <c r="C35"/>
      <c r="D35"/>
      <c r="E35"/>
      <c r="F35"/>
      <c r="G35"/>
      <c r="H35"/>
      <c r="I35"/>
      <c r="J35"/>
      <c r="K35"/>
      <c r="L35"/>
    </row>
    <row r="36" spans="1:12" ht="15.75" customHeight="1">
      <c r="A36" s="3" t="s">
        <v>9</v>
      </c>
      <c r="B36" s="3" t="s">
        <v>2658</v>
      </c>
      <c r="C36" s="3"/>
      <c r="D36" s="3"/>
      <c r="E36" s="3"/>
      <c r="F36" s="3"/>
      <c r="G36" s="3"/>
      <c r="H36" s="3"/>
      <c r="I36" s="3"/>
      <c r="J36" s="3"/>
      <c r="K36" s="3"/>
      <c r="L36" s="2"/>
    </row>
    <row r="37" spans="1:12" ht="15.75" customHeight="1">
      <c r="A37" s="5"/>
      <c r="B37" s="5" t="s">
        <v>64</v>
      </c>
      <c r="C37" s="5"/>
      <c r="D37" s="4"/>
      <c r="E37" s="4"/>
      <c r="F37" s="4"/>
      <c r="G37" s="4"/>
      <c r="H37" s="3"/>
      <c r="I37" s="3"/>
      <c r="J37" s="2"/>
      <c r="K37" s="3"/>
      <c r="L37" s="2"/>
    </row>
    <row r="38" spans="1:12" ht="15.75" customHeight="1">
      <c r="A38"/>
      <c r="B38" t="s">
        <v>2657</v>
      </c>
      <c r="C38"/>
      <c r="D38"/>
      <c r="E38"/>
      <c r="F38"/>
      <c r="G38"/>
      <c r="H38"/>
      <c r="I38"/>
      <c r="J38"/>
      <c r="K38"/>
      <c r="L38"/>
    </row>
    <row r="39" spans="1:12" ht="15.75" customHeight="1">
      <c r="A39"/>
      <c r="B39" s="1951" t="str">
        <f>B25</f>
        <v>Event</v>
      </c>
      <c r="C39" s="1727" t="s">
        <v>460</v>
      </c>
      <c r="D39" s="1728"/>
      <c r="E39" s="1729"/>
      <c r="F39"/>
      <c r="G39"/>
      <c r="H39"/>
      <c r="I39"/>
      <c r="J39"/>
      <c r="K39"/>
      <c r="L39"/>
    </row>
    <row r="40" spans="1:12" ht="15.75" customHeight="1">
      <c r="A40"/>
      <c r="B40" s="1952"/>
      <c r="C40" s="269" t="s">
        <v>2656</v>
      </c>
      <c r="D40" s="269" t="s">
        <v>2655</v>
      </c>
      <c r="E40" s="269" t="s">
        <v>2654</v>
      </c>
      <c r="F40"/>
      <c r="G40"/>
      <c r="H40"/>
      <c r="I40"/>
      <c r="J40"/>
      <c r="K40"/>
      <c r="L40"/>
    </row>
    <row r="41" spans="1:12" ht="15.75" customHeight="1">
      <c r="A41"/>
      <c r="B41" s="269">
        <f>B26</f>
        <v>1</v>
      </c>
      <c r="C41" s="266">
        <f t="shared" ref="C41:E44" si="2">$C26*(1-$C26)*($D26+E26)^2</f>
        <v>3490644375</v>
      </c>
      <c r="D41" s="266">
        <f t="shared" si="2"/>
        <v>3369240000</v>
      </c>
      <c r="E41" s="266">
        <f t="shared" si="2"/>
        <v>4129897500</v>
      </c>
      <c r="F41"/>
      <c r="G41"/>
      <c r="H41"/>
      <c r="I41"/>
      <c r="J41"/>
      <c r="K41"/>
      <c r="L41"/>
    </row>
    <row r="42" spans="1:12" ht="15.75" customHeight="1">
      <c r="A42"/>
      <c r="B42" s="269">
        <f>B27</f>
        <v>2</v>
      </c>
      <c r="C42" s="266">
        <f t="shared" si="2"/>
        <v>2574609375</v>
      </c>
      <c r="D42" s="266">
        <f t="shared" si="2"/>
        <v>4719000000</v>
      </c>
      <c r="E42" s="266">
        <f t="shared" si="2"/>
        <v>2817750000</v>
      </c>
      <c r="F42"/>
      <c r="G42"/>
      <c r="H42"/>
      <c r="I42"/>
      <c r="J42"/>
      <c r="K42"/>
      <c r="L42"/>
    </row>
    <row r="43" spans="1:12" ht="15.75" customHeight="1">
      <c r="A43"/>
      <c r="B43" s="269">
        <f>B28</f>
        <v>3</v>
      </c>
      <c r="C43" s="266">
        <f t="shared" si="2"/>
        <v>4610410000</v>
      </c>
      <c r="D43" s="266">
        <f t="shared" si="2"/>
        <v>566440000</v>
      </c>
      <c r="E43" s="266">
        <f t="shared" si="2"/>
        <v>784000000</v>
      </c>
      <c r="F43"/>
      <c r="G43"/>
      <c r="H43"/>
      <c r="I43"/>
      <c r="J43"/>
      <c r="K43"/>
      <c r="L43"/>
    </row>
    <row r="44" spans="1:12" ht="15.75" customHeight="1">
      <c r="A44"/>
      <c r="B44" s="269">
        <f>B29</f>
        <v>4</v>
      </c>
      <c r="C44" s="266">
        <f t="shared" si="2"/>
        <v>6023160000.000001</v>
      </c>
      <c r="D44" s="266">
        <f t="shared" si="2"/>
        <v>9900000000</v>
      </c>
      <c r="E44" s="266">
        <f t="shared" si="2"/>
        <v>9219127500</v>
      </c>
      <c r="F44"/>
      <c r="G44"/>
      <c r="H44"/>
      <c r="I44"/>
      <c r="J44"/>
      <c r="K44"/>
      <c r="L44"/>
    </row>
    <row r="45" spans="1:12" ht="15.75" customHeight="1">
      <c r="A45"/>
      <c r="B45" s="457" t="s">
        <v>98</v>
      </c>
      <c r="C45" s="266">
        <f>SUM(C41:C44)</f>
        <v>16698823750</v>
      </c>
      <c r="D45" s="266">
        <f>SUM(D41:D44)</f>
        <v>18554680000</v>
      </c>
      <c r="E45" s="266">
        <f>SUM(E41:E44)</f>
        <v>16950775000</v>
      </c>
      <c r="F45" s="86"/>
      <c r="G45"/>
      <c r="H45"/>
      <c r="I45"/>
      <c r="J45"/>
      <c r="K45"/>
      <c r="L45"/>
    </row>
    <row r="46" spans="1:12" ht="15.75" customHeight="1">
      <c r="A46"/>
      <c r="B46"/>
      <c r="C46"/>
      <c r="D46"/>
      <c r="E46"/>
      <c r="F46"/>
      <c r="G46"/>
      <c r="H46"/>
      <c r="I46"/>
      <c r="J46"/>
      <c r="K46"/>
      <c r="L46"/>
    </row>
    <row r="47" spans="1:12" ht="15.75" customHeight="1">
      <c r="A47"/>
      <c r="B47" s="1508" t="s">
        <v>2653</v>
      </c>
      <c r="C47" s="1508"/>
      <c r="D47" s="1508"/>
      <c r="E47" s="1508"/>
      <c r="F47" s="1508"/>
      <c r="G47" s="86"/>
      <c r="H47"/>
      <c r="I47"/>
      <c r="J47"/>
      <c r="K47"/>
      <c r="L47"/>
    </row>
    <row r="48" spans="1:12" ht="15.75" customHeight="1">
      <c r="A48"/>
      <c r="B48"/>
      <c r="C48"/>
      <c r="D48"/>
      <c r="E48"/>
      <c r="F48"/>
      <c r="G48"/>
      <c r="H48"/>
      <c r="I48"/>
      <c r="J48"/>
      <c r="K48"/>
      <c r="L48"/>
    </row>
    <row r="49" spans="1:12" ht="15.75" customHeight="1">
      <c r="A49" s="3" t="s">
        <v>2652</v>
      </c>
      <c r="B49" s="2"/>
      <c r="C49" s="2"/>
      <c r="D49" s="2"/>
      <c r="E49" s="2"/>
      <c r="F49" s="2"/>
      <c r="G49" s="2"/>
      <c r="H49" s="2"/>
      <c r="I49" s="2"/>
      <c r="J49" s="2"/>
      <c r="K49" s="2"/>
      <c r="L49" s="2"/>
    </row>
    <row r="50" spans="1:12" ht="15.75" customHeight="1">
      <c r="A50" s="3"/>
      <c r="B50" s="3"/>
      <c r="C50" s="3"/>
      <c r="D50" s="3"/>
      <c r="E50" s="3"/>
      <c r="F50" s="3"/>
      <c r="G50" s="3"/>
      <c r="H50" s="3"/>
      <c r="I50" s="3"/>
      <c r="J50" s="3"/>
      <c r="K50" s="3"/>
      <c r="L50" s="2"/>
    </row>
    <row r="51" spans="1:12" ht="15.75" customHeight="1">
      <c r="A51" s="3" t="s">
        <v>7</v>
      </c>
      <c r="B51" s="3" t="s">
        <v>2651</v>
      </c>
      <c r="C51" s="3"/>
      <c r="D51" s="3"/>
      <c r="E51" s="3"/>
      <c r="F51" s="3"/>
      <c r="G51" s="3"/>
      <c r="H51" s="3"/>
      <c r="I51" s="3"/>
      <c r="J51" s="3"/>
      <c r="K51" s="3"/>
      <c r="L51" s="2"/>
    </row>
    <row r="52" spans="1:12" ht="15.75" customHeight="1">
      <c r="A52" s="5"/>
      <c r="B52" s="5" t="s">
        <v>64</v>
      </c>
      <c r="C52" s="5"/>
      <c r="D52" s="4"/>
      <c r="E52" s="4"/>
      <c r="F52" s="4"/>
      <c r="G52" s="4"/>
      <c r="H52" s="3"/>
      <c r="I52" s="3"/>
      <c r="J52" s="2"/>
      <c r="K52" s="3"/>
      <c r="L52" s="2"/>
    </row>
    <row r="53" spans="1:12" ht="15.75" customHeight="1">
      <c r="A53"/>
      <c r="B53"/>
      <c r="C53"/>
      <c r="D53"/>
      <c r="E53"/>
      <c r="F53"/>
      <c r="G53"/>
      <c r="H53"/>
      <c r="I53"/>
      <c r="J53"/>
      <c r="K53"/>
      <c r="L53"/>
    </row>
    <row r="54" spans="1:12" ht="15.75" customHeight="1">
      <c r="A54"/>
      <c r="B54" s="1951" t="str">
        <f>B39</f>
        <v>Event</v>
      </c>
      <c r="C54" s="1954" t="s">
        <v>2650</v>
      </c>
      <c r="D54"/>
      <c r="F54"/>
      <c r="G54"/>
      <c r="H54"/>
      <c r="I54"/>
      <c r="J54"/>
      <c r="K54"/>
      <c r="L54"/>
    </row>
    <row r="55" spans="1:12" ht="15.75" customHeight="1">
      <c r="A55"/>
      <c r="B55" s="1953"/>
      <c r="C55" s="1953"/>
      <c r="D55"/>
      <c r="F55"/>
      <c r="G55"/>
      <c r="H55"/>
      <c r="I55"/>
      <c r="J55"/>
      <c r="K55"/>
      <c r="L55"/>
    </row>
    <row r="56" spans="1:12" ht="15.75" customHeight="1">
      <c r="A56"/>
      <c r="B56" s="1952"/>
      <c r="C56" s="1952"/>
      <c r="D56"/>
      <c r="F56"/>
      <c r="G56"/>
      <c r="H56"/>
      <c r="I56"/>
      <c r="J56"/>
      <c r="K56"/>
      <c r="L56"/>
    </row>
    <row r="57" spans="1:12" ht="15.75" customHeight="1">
      <c r="A57"/>
      <c r="B57" s="269">
        <f>B41</f>
        <v>1</v>
      </c>
      <c r="C57" s="1507">
        <f>(D26/SUM(D26:E26))*(C41-H26-I26)</f>
        <v>1025368421.0526315</v>
      </c>
      <c r="D57"/>
      <c r="F57"/>
      <c r="G57"/>
      <c r="H57"/>
      <c r="I57"/>
      <c r="J57"/>
      <c r="K57"/>
      <c r="L57"/>
    </row>
    <row r="58" spans="1:12" ht="15.75" customHeight="1">
      <c r="A58"/>
      <c r="B58" s="269">
        <f>B42</f>
        <v>2</v>
      </c>
      <c r="C58" s="1507">
        <f>(D27/SUM(D27:E27))*(C42-H27-I27)</f>
        <v>76800000</v>
      </c>
      <c r="D58"/>
      <c r="E58" s="1948" t="s">
        <v>2649</v>
      </c>
      <c r="F58"/>
      <c r="G58"/>
      <c r="H58"/>
      <c r="I58"/>
      <c r="J58"/>
      <c r="K58"/>
      <c r="L58"/>
    </row>
    <row r="59" spans="1:12" ht="15.75" customHeight="1">
      <c r="A59"/>
      <c r="B59" s="269">
        <f>B43</f>
        <v>3</v>
      </c>
      <c r="C59" s="1507">
        <f>(D28/SUM(D28:E28))*(C43-H28-I28)</f>
        <v>454639175.25773191</v>
      </c>
      <c r="D59"/>
      <c r="E59" s="1949"/>
      <c r="F59"/>
      <c r="G59"/>
      <c r="H59"/>
      <c r="I59"/>
      <c r="J59"/>
      <c r="K59"/>
      <c r="L59"/>
    </row>
    <row r="60" spans="1:12" ht="15.75" customHeight="1">
      <c r="A60"/>
      <c r="B60" s="269">
        <f>B44</f>
        <v>4</v>
      </c>
      <c r="C60" s="1507">
        <f>(D29/SUM(D29:E29))*(C44-H29-I29)</f>
        <v>428365384.61538553</v>
      </c>
      <c r="D60"/>
      <c r="E60" s="1949"/>
      <c r="F60"/>
      <c r="G60"/>
      <c r="H60"/>
      <c r="I60"/>
      <c r="J60"/>
      <c r="K60"/>
      <c r="L60"/>
    </row>
    <row r="61" spans="1:12" ht="15.75" customHeight="1">
      <c r="A61"/>
      <c r="B61" s="269" t="s">
        <v>2648</v>
      </c>
      <c r="C61" s="1507">
        <f>SUM(C57:C60)</f>
        <v>1985172980.9257488</v>
      </c>
      <c r="D61"/>
      <c r="E61" s="1353">
        <f>D16*C45</f>
        <v>333976.47500000003</v>
      </c>
      <c r="F61"/>
      <c r="G61"/>
      <c r="H61"/>
      <c r="I61"/>
      <c r="J61"/>
      <c r="K61"/>
      <c r="L61"/>
    </row>
    <row r="62" spans="1:12">
      <c r="A62"/>
      <c r="B62"/>
      <c r="C62"/>
      <c r="D62"/>
      <c r="E62"/>
      <c r="F62"/>
      <c r="G62"/>
      <c r="H62"/>
      <c r="I62"/>
      <c r="J62"/>
      <c r="K62"/>
      <c r="L62"/>
    </row>
    <row r="63" spans="1:12">
      <c r="A63"/>
      <c r="B63" s="1950" t="s">
        <v>2628</v>
      </c>
      <c r="C63" s="1950"/>
      <c r="D63"/>
      <c r="E63"/>
      <c r="F63"/>
      <c r="G63"/>
      <c r="H63"/>
      <c r="I63"/>
      <c r="J63"/>
      <c r="K63"/>
      <c r="L63"/>
    </row>
    <row r="64" spans="1:12">
      <c r="A64"/>
      <c r="B64" s="1506" t="s">
        <v>2647</v>
      </c>
      <c r="C64" s="1505">
        <f>D16*(D33+C61)</f>
        <v>241503.45961851499</v>
      </c>
      <c r="D64"/>
      <c r="E64" s="1504"/>
      <c r="F64"/>
      <c r="G64"/>
      <c r="H64"/>
      <c r="I64"/>
      <c r="J64"/>
      <c r="K64"/>
      <c r="L64"/>
    </row>
    <row r="65" spans="1:12">
      <c r="A65"/>
      <c r="B65" s="1506" t="s">
        <v>2646</v>
      </c>
      <c r="C65" s="1505">
        <f>E61-C64</f>
        <v>92473.015381485049</v>
      </c>
      <c r="D65"/>
      <c r="E65" s="1504"/>
      <c r="F65"/>
      <c r="G65"/>
      <c r="H65"/>
      <c r="I65"/>
      <c r="J65"/>
      <c r="K65"/>
      <c r="L65"/>
    </row>
    <row r="66" spans="1:12">
      <c r="A66"/>
      <c r="B66"/>
      <c r="C66"/>
      <c r="D66"/>
      <c r="E66"/>
    </row>
    <row r="67" spans="1:12">
      <c r="A67"/>
      <c r="B67"/>
      <c r="C67"/>
      <c r="D67"/>
      <c r="E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c r="J149"/>
      <c r="K149"/>
      <c r="L149"/>
    </row>
    <row r="150" spans="1:12">
      <c r="A150"/>
      <c r="B150"/>
      <c r="C150"/>
      <c r="D150"/>
      <c r="E150"/>
      <c r="F150"/>
      <c r="G150"/>
      <c r="H150"/>
      <c r="I150"/>
      <c r="J150"/>
      <c r="K150"/>
      <c r="L150"/>
    </row>
    <row r="151" spans="1:12">
      <c r="A151"/>
      <c r="B151"/>
      <c r="C151"/>
      <c r="D151"/>
      <c r="E151"/>
      <c r="F151"/>
      <c r="G151"/>
      <c r="H151"/>
      <c r="I151"/>
      <c r="J151"/>
      <c r="K151"/>
      <c r="L151"/>
    </row>
    <row r="152" spans="1:12">
      <c r="A152"/>
      <c r="B152"/>
      <c r="C152"/>
      <c r="D152"/>
      <c r="E152"/>
      <c r="F152"/>
      <c r="G152"/>
      <c r="H152"/>
      <c r="I152"/>
      <c r="J152"/>
      <c r="K152"/>
      <c r="L152"/>
    </row>
    <row r="153" spans="1:12">
      <c r="A153"/>
      <c r="B153"/>
      <c r="C153"/>
      <c r="D153"/>
      <c r="E153"/>
      <c r="F153"/>
      <c r="G153"/>
      <c r="H153"/>
      <c r="I153"/>
      <c r="J153"/>
      <c r="K153"/>
      <c r="L153"/>
    </row>
    <row r="154" spans="1:12">
      <c r="A154"/>
      <c r="B154"/>
      <c r="C154"/>
      <c r="D154"/>
      <c r="E154"/>
      <c r="F154"/>
      <c r="G154"/>
      <c r="H154"/>
      <c r="I154"/>
      <c r="J154"/>
      <c r="K154"/>
      <c r="L154"/>
    </row>
    <row r="155" spans="1:12">
      <c r="A155"/>
      <c r="B155"/>
      <c r="C155"/>
      <c r="D155"/>
      <c r="E155"/>
      <c r="F155"/>
      <c r="G155"/>
      <c r="H155"/>
      <c r="I155"/>
      <c r="J155"/>
      <c r="K155"/>
      <c r="L155"/>
    </row>
    <row r="156" spans="1:12">
      <c r="A156"/>
      <c r="B156"/>
      <c r="C156"/>
      <c r="D156"/>
      <c r="E156"/>
      <c r="F156"/>
      <c r="G156"/>
      <c r="H156"/>
      <c r="I156"/>
      <c r="J156"/>
      <c r="K156"/>
      <c r="L156"/>
    </row>
    <row r="157" spans="1:12">
      <c r="A157"/>
      <c r="B157"/>
      <c r="C157"/>
      <c r="D157"/>
      <c r="E157"/>
      <c r="F157"/>
      <c r="G157"/>
      <c r="H157"/>
      <c r="I157"/>
      <c r="J157"/>
      <c r="K157"/>
      <c r="L157"/>
    </row>
    <row r="158" spans="1:12">
      <c r="A158"/>
      <c r="B158"/>
      <c r="C158"/>
      <c r="D158"/>
      <c r="E158"/>
      <c r="F158"/>
      <c r="G158"/>
      <c r="H158"/>
      <c r="I158"/>
      <c r="J158"/>
      <c r="K158"/>
      <c r="L158"/>
    </row>
    <row r="159" spans="1:12">
      <c r="A159"/>
      <c r="B159"/>
      <c r="C159"/>
      <c r="D159"/>
      <c r="E159"/>
      <c r="F159"/>
      <c r="G159"/>
      <c r="H159"/>
      <c r="I159"/>
      <c r="J159"/>
      <c r="K159"/>
      <c r="L159"/>
    </row>
    <row r="160" spans="1:12">
      <c r="A160"/>
      <c r="B160"/>
      <c r="C160"/>
      <c r="D160"/>
      <c r="E160"/>
      <c r="F160"/>
      <c r="G160"/>
      <c r="H160"/>
      <c r="I160"/>
      <c r="J160"/>
      <c r="K160"/>
      <c r="L160"/>
    </row>
    <row r="161" spans="1:12">
      <c r="A161"/>
      <c r="B161"/>
      <c r="C161"/>
      <c r="D161"/>
      <c r="E161"/>
      <c r="F161"/>
      <c r="G161"/>
      <c r="H161"/>
      <c r="I161"/>
      <c r="J161"/>
      <c r="K161"/>
      <c r="L161"/>
    </row>
    <row r="162" spans="1:12">
      <c r="A162"/>
      <c r="B162"/>
      <c r="C162"/>
      <c r="D162"/>
      <c r="E162"/>
      <c r="F162"/>
      <c r="G162"/>
      <c r="H162"/>
      <c r="I162"/>
      <c r="J162"/>
      <c r="K162"/>
      <c r="L162"/>
    </row>
    <row r="163" spans="1:12">
      <c r="A163"/>
      <c r="B163"/>
      <c r="C163"/>
      <c r="D163"/>
      <c r="E163"/>
      <c r="F163"/>
      <c r="G163"/>
      <c r="H163"/>
      <c r="I163"/>
      <c r="J163"/>
      <c r="K163"/>
      <c r="L163"/>
    </row>
    <row r="164" spans="1:12">
      <c r="A164"/>
      <c r="B164"/>
      <c r="C164"/>
      <c r="D164"/>
      <c r="E164"/>
      <c r="F164"/>
      <c r="G164"/>
      <c r="H164"/>
      <c r="I164"/>
      <c r="J164"/>
      <c r="K164"/>
      <c r="L164"/>
    </row>
    <row r="165" spans="1:12">
      <c r="A165"/>
      <c r="B165"/>
      <c r="C165"/>
      <c r="D165"/>
      <c r="E165"/>
      <c r="F165"/>
      <c r="G165"/>
      <c r="H165"/>
      <c r="I165"/>
      <c r="J165"/>
      <c r="K165"/>
      <c r="L165"/>
    </row>
    <row r="166" spans="1:12">
      <c r="A166"/>
      <c r="B166"/>
      <c r="C166"/>
      <c r="D166"/>
      <c r="E166"/>
      <c r="F166"/>
      <c r="G166"/>
      <c r="H166"/>
      <c r="I166"/>
      <c r="J166"/>
      <c r="K166"/>
      <c r="L166"/>
    </row>
    <row r="167" spans="1:12">
      <c r="A167"/>
      <c r="B167"/>
      <c r="C167"/>
      <c r="D167"/>
      <c r="E167"/>
      <c r="F167"/>
      <c r="G167"/>
      <c r="H167"/>
      <c r="I167"/>
      <c r="J167"/>
      <c r="K167"/>
      <c r="L167"/>
    </row>
    <row r="168" spans="1:12">
      <c r="A168"/>
      <c r="B168"/>
      <c r="C168"/>
      <c r="D168"/>
      <c r="E168"/>
      <c r="F168"/>
      <c r="G168"/>
      <c r="H168"/>
      <c r="I168"/>
      <c r="J168"/>
      <c r="K168"/>
      <c r="L168"/>
    </row>
    <row r="169" spans="1:12">
      <c r="A169"/>
      <c r="B169"/>
      <c r="C169"/>
      <c r="D169"/>
      <c r="E169"/>
      <c r="F169"/>
      <c r="G169"/>
      <c r="H169"/>
      <c r="I169"/>
      <c r="J169"/>
      <c r="K169"/>
      <c r="L169"/>
    </row>
    <row r="170" spans="1:12">
      <c r="A170"/>
      <c r="B170"/>
      <c r="C170"/>
      <c r="D170"/>
      <c r="E170"/>
      <c r="F170"/>
      <c r="G170"/>
      <c r="H170"/>
      <c r="I170"/>
      <c r="J170"/>
      <c r="K170"/>
      <c r="L170"/>
    </row>
    <row r="171" spans="1:12">
      <c r="A171"/>
      <c r="B171"/>
      <c r="C171"/>
      <c r="D171"/>
      <c r="E171"/>
      <c r="F171"/>
      <c r="G171"/>
      <c r="H171"/>
      <c r="I171"/>
      <c r="J171"/>
      <c r="K171"/>
      <c r="L171"/>
    </row>
    <row r="172" spans="1:12">
      <c r="A172"/>
      <c r="B172"/>
      <c r="C172"/>
      <c r="D172"/>
      <c r="E172"/>
      <c r="F172"/>
      <c r="G172"/>
      <c r="H172"/>
      <c r="I172"/>
      <c r="J172"/>
      <c r="K172"/>
      <c r="L172"/>
    </row>
    <row r="173" spans="1:12">
      <c r="A173"/>
      <c r="B173"/>
      <c r="C173"/>
      <c r="D173"/>
      <c r="E173"/>
      <c r="F173"/>
      <c r="G173"/>
      <c r="H173"/>
      <c r="I173"/>
      <c r="J173"/>
      <c r="K173"/>
      <c r="L173"/>
    </row>
    <row r="174" spans="1:12">
      <c r="A174"/>
      <c r="B174"/>
      <c r="C174"/>
      <c r="D174"/>
      <c r="E174"/>
      <c r="F174"/>
      <c r="G174"/>
      <c r="H174"/>
      <c r="I174"/>
      <c r="J174"/>
      <c r="K174"/>
      <c r="L174"/>
    </row>
    <row r="175" spans="1:12">
      <c r="A175"/>
      <c r="B175"/>
      <c r="C175"/>
      <c r="D175"/>
      <c r="E175"/>
      <c r="F175"/>
      <c r="G175"/>
      <c r="H175"/>
      <c r="I175"/>
      <c r="J175"/>
      <c r="K175"/>
      <c r="L175"/>
    </row>
    <row r="176" spans="1:12">
      <c r="A176"/>
      <c r="B176"/>
      <c r="C176"/>
      <c r="D176"/>
      <c r="E176"/>
      <c r="F176"/>
      <c r="G176"/>
      <c r="H176"/>
      <c r="I176"/>
      <c r="J176"/>
      <c r="K176"/>
      <c r="L176"/>
    </row>
    <row r="177" spans="1:12">
      <c r="A177"/>
      <c r="B177"/>
      <c r="C177"/>
      <c r="D177"/>
      <c r="E177"/>
      <c r="F177"/>
      <c r="G177"/>
      <c r="H177"/>
      <c r="I177"/>
      <c r="J177"/>
      <c r="K177"/>
      <c r="L177"/>
    </row>
    <row r="178" spans="1:12">
      <c r="A178"/>
      <c r="B178"/>
      <c r="C178"/>
      <c r="D178"/>
      <c r="E178"/>
      <c r="F178"/>
      <c r="G178"/>
      <c r="H178"/>
      <c r="I178"/>
      <c r="J178"/>
      <c r="K178"/>
      <c r="L178"/>
    </row>
    <row r="179" spans="1:12">
      <c r="A179"/>
      <c r="B179"/>
      <c r="C179"/>
      <c r="D179"/>
      <c r="E179"/>
      <c r="F179"/>
      <c r="G179"/>
      <c r="H179"/>
      <c r="I179"/>
      <c r="J179"/>
      <c r="K179"/>
      <c r="L179"/>
    </row>
    <row r="180" spans="1:12">
      <c r="A180"/>
      <c r="B180"/>
      <c r="C180"/>
      <c r="D180"/>
      <c r="E180"/>
      <c r="F180"/>
      <c r="G180"/>
      <c r="H180"/>
      <c r="I180"/>
      <c r="J180"/>
      <c r="K180"/>
      <c r="L180"/>
    </row>
    <row r="181" spans="1:12">
      <c r="A181"/>
      <c r="B181"/>
      <c r="C181"/>
      <c r="D181"/>
      <c r="E181"/>
      <c r="F181"/>
      <c r="G181"/>
      <c r="H181"/>
      <c r="I181"/>
      <c r="J181"/>
      <c r="K181"/>
      <c r="L181"/>
    </row>
    <row r="182" spans="1:12">
      <c r="A182"/>
      <c r="B182"/>
      <c r="C182"/>
      <c r="D182"/>
      <c r="E182"/>
      <c r="F182"/>
      <c r="G182"/>
      <c r="H182"/>
      <c r="I182"/>
      <c r="J182"/>
      <c r="K182"/>
      <c r="L182"/>
    </row>
    <row r="183" spans="1:12">
      <c r="A183"/>
      <c r="B183"/>
      <c r="C183"/>
      <c r="D183"/>
      <c r="E183"/>
      <c r="F183"/>
      <c r="G183"/>
      <c r="H183"/>
      <c r="I183"/>
      <c r="J183"/>
      <c r="K183"/>
      <c r="L183"/>
    </row>
    <row r="184" spans="1:12">
      <c r="A184"/>
      <c r="B184"/>
      <c r="C184"/>
      <c r="D184"/>
      <c r="E184"/>
      <c r="F184"/>
      <c r="G184"/>
      <c r="H184"/>
      <c r="I184"/>
      <c r="J184"/>
      <c r="K184"/>
      <c r="L184"/>
    </row>
    <row r="185" spans="1:12">
      <c r="A185"/>
      <c r="B185"/>
      <c r="C185"/>
      <c r="D185"/>
      <c r="E185"/>
      <c r="F185"/>
      <c r="G185"/>
      <c r="H185"/>
      <c r="I185"/>
      <c r="J185"/>
      <c r="K185"/>
      <c r="L185"/>
    </row>
    <row r="186" spans="1:12">
      <c r="A186"/>
      <c r="B186"/>
      <c r="C186"/>
      <c r="D186"/>
      <c r="E186"/>
      <c r="F186"/>
      <c r="G186"/>
      <c r="H186"/>
      <c r="I186"/>
      <c r="J186"/>
      <c r="K186"/>
      <c r="L186"/>
    </row>
    <row r="187" spans="1:12">
      <c r="A187"/>
      <c r="B187"/>
      <c r="C187"/>
      <c r="D187"/>
      <c r="E187"/>
      <c r="F187"/>
      <c r="G187"/>
      <c r="H187"/>
      <c r="I187"/>
      <c r="J187"/>
      <c r="K187"/>
      <c r="L187"/>
    </row>
    <row r="188" spans="1:12">
      <c r="A188"/>
      <c r="B188"/>
      <c r="C188"/>
      <c r="D188"/>
      <c r="E188"/>
      <c r="F188"/>
      <c r="G188"/>
      <c r="H188"/>
      <c r="I188"/>
      <c r="J188"/>
      <c r="K188"/>
      <c r="L188"/>
    </row>
    <row r="189" spans="1:12">
      <c r="A189"/>
      <c r="B189"/>
      <c r="C189"/>
      <c r="D189"/>
      <c r="E189"/>
      <c r="F189"/>
      <c r="G189"/>
      <c r="H189"/>
      <c r="I189"/>
      <c r="J189"/>
      <c r="K189"/>
      <c r="L189"/>
    </row>
    <row r="190" spans="1:12">
      <c r="A190"/>
      <c r="B190"/>
      <c r="C190"/>
      <c r="D190"/>
      <c r="E190"/>
      <c r="F190"/>
      <c r="G190"/>
      <c r="H190"/>
      <c r="I190"/>
      <c r="J190"/>
      <c r="K190"/>
      <c r="L190"/>
    </row>
    <row r="191" spans="1:12">
      <c r="A191"/>
      <c r="B191"/>
      <c r="C191"/>
      <c r="D191"/>
      <c r="E191"/>
      <c r="F191"/>
      <c r="G191"/>
      <c r="H191"/>
      <c r="I191"/>
      <c r="J191"/>
      <c r="K191"/>
      <c r="L191"/>
    </row>
    <row r="192" spans="1:12">
      <c r="A192"/>
      <c r="B192"/>
      <c r="C192"/>
      <c r="D192"/>
      <c r="E192"/>
      <c r="F192"/>
      <c r="G192"/>
      <c r="H192"/>
      <c r="I192"/>
      <c r="J192"/>
      <c r="K192"/>
      <c r="L192"/>
    </row>
    <row r="193" spans="1:12">
      <c r="A193"/>
      <c r="B193"/>
      <c r="C193"/>
      <c r="D193"/>
      <c r="E193"/>
      <c r="F193"/>
      <c r="G193"/>
      <c r="H193"/>
      <c r="I193"/>
      <c r="J193"/>
      <c r="K193"/>
      <c r="L193"/>
    </row>
    <row r="194" spans="1:12">
      <c r="A194"/>
      <c r="B194"/>
      <c r="C194"/>
      <c r="D194"/>
      <c r="E194"/>
      <c r="F194"/>
      <c r="G194"/>
      <c r="H194"/>
      <c r="I194"/>
      <c r="J194"/>
      <c r="K194"/>
      <c r="L194"/>
    </row>
    <row r="195" spans="1:12">
      <c r="A195"/>
      <c r="B195"/>
      <c r="C195"/>
      <c r="D195"/>
      <c r="E195"/>
      <c r="F195"/>
      <c r="G195"/>
      <c r="H195"/>
      <c r="I195"/>
      <c r="J195"/>
      <c r="K195"/>
      <c r="L195"/>
    </row>
    <row r="196" spans="1:12">
      <c r="A196"/>
      <c r="B196"/>
      <c r="C196"/>
      <c r="D196"/>
      <c r="E196"/>
      <c r="F196"/>
      <c r="G196"/>
      <c r="H196"/>
      <c r="I196"/>
      <c r="J196"/>
      <c r="K196"/>
      <c r="L196"/>
    </row>
    <row r="197" spans="1:12">
      <c r="A197"/>
      <c r="B197"/>
      <c r="C197"/>
      <c r="D197"/>
      <c r="E197"/>
      <c r="F197"/>
      <c r="G197"/>
      <c r="H197"/>
      <c r="I197"/>
      <c r="J197"/>
      <c r="K197"/>
      <c r="L197"/>
    </row>
    <row r="198" spans="1:12">
      <c r="A198"/>
      <c r="B198"/>
      <c r="C198"/>
      <c r="D198"/>
      <c r="E198"/>
      <c r="F198"/>
      <c r="G198"/>
      <c r="H198"/>
      <c r="I198"/>
      <c r="J198"/>
      <c r="K198"/>
      <c r="L198"/>
    </row>
    <row r="199" spans="1:12">
      <c r="A199"/>
      <c r="B199"/>
      <c r="C199"/>
      <c r="D199"/>
      <c r="E199"/>
      <c r="F199"/>
      <c r="G199"/>
      <c r="H199"/>
      <c r="I199"/>
      <c r="J199"/>
      <c r="K199"/>
      <c r="L199"/>
    </row>
    <row r="200" spans="1:12">
      <c r="A200"/>
      <c r="B200"/>
      <c r="C200"/>
      <c r="D200"/>
      <c r="E200"/>
      <c r="F200"/>
      <c r="G200"/>
      <c r="H200"/>
      <c r="I200"/>
      <c r="J200"/>
      <c r="K200"/>
      <c r="L200"/>
    </row>
    <row r="201" spans="1:12">
      <c r="A201"/>
      <c r="B201"/>
      <c r="C201"/>
      <c r="D201"/>
      <c r="E201"/>
      <c r="F201"/>
      <c r="G201"/>
      <c r="H201"/>
      <c r="I201"/>
      <c r="J201"/>
      <c r="K201"/>
      <c r="L201"/>
    </row>
    <row r="202" spans="1:12">
      <c r="A202"/>
      <c r="B202"/>
      <c r="C202"/>
      <c r="D202"/>
      <c r="E202"/>
      <c r="F202"/>
      <c r="G202"/>
      <c r="H202"/>
      <c r="I202"/>
      <c r="J202"/>
      <c r="K202"/>
      <c r="L202"/>
    </row>
    <row r="203" spans="1:12">
      <c r="A203"/>
      <c r="B203"/>
      <c r="C203"/>
      <c r="D203"/>
      <c r="E203"/>
      <c r="F203"/>
      <c r="G203"/>
      <c r="H203"/>
      <c r="I203"/>
      <c r="J203"/>
      <c r="K203"/>
      <c r="L203"/>
    </row>
    <row r="204" spans="1:12">
      <c r="A204"/>
      <c r="B204"/>
      <c r="C204"/>
      <c r="D204"/>
      <c r="E204"/>
      <c r="F204"/>
      <c r="G204"/>
      <c r="H204"/>
      <c r="I204"/>
      <c r="J204"/>
      <c r="K204"/>
      <c r="L204"/>
    </row>
    <row r="205" spans="1:12">
      <c r="A205"/>
      <c r="B205"/>
      <c r="C205"/>
      <c r="D205"/>
      <c r="E205"/>
      <c r="F205"/>
      <c r="G205"/>
      <c r="H205"/>
      <c r="I205"/>
      <c r="J205"/>
      <c r="K205"/>
      <c r="L205"/>
    </row>
    <row r="206" spans="1:12">
      <c r="A206"/>
      <c r="B206"/>
      <c r="C206"/>
      <c r="D206"/>
      <c r="E206"/>
      <c r="F206"/>
      <c r="G206"/>
      <c r="H206"/>
      <c r="I206"/>
      <c r="J206"/>
      <c r="K206"/>
      <c r="L206"/>
    </row>
    <row r="207" spans="1:12">
      <c r="A207"/>
      <c r="B207"/>
      <c r="C207"/>
      <c r="D207"/>
      <c r="E207"/>
      <c r="F207"/>
      <c r="G207"/>
      <c r="H207"/>
      <c r="I207"/>
      <c r="J207"/>
      <c r="K207"/>
      <c r="L207"/>
    </row>
    <row r="208" spans="1:12">
      <c r="A208"/>
      <c r="B208"/>
      <c r="C208"/>
      <c r="D208"/>
      <c r="E208"/>
      <c r="F208"/>
      <c r="G208"/>
      <c r="H208"/>
      <c r="I208"/>
      <c r="J208"/>
      <c r="K208"/>
      <c r="L208"/>
    </row>
    <row r="209" spans="1:12">
      <c r="A209"/>
      <c r="B209"/>
      <c r="C209"/>
      <c r="D209"/>
      <c r="E209"/>
      <c r="F209"/>
      <c r="G209"/>
      <c r="H209"/>
      <c r="I209"/>
      <c r="J209"/>
      <c r="K209"/>
      <c r="L209"/>
    </row>
    <row r="210" spans="1:12">
      <c r="A210"/>
      <c r="B210"/>
      <c r="C210"/>
      <c r="D210"/>
      <c r="E210"/>
      <c r="F210"/>
      <c r="G210"/>
      <c r="H210"/>
      <c r="I210"/>
      <c r="J210"/>
      <c r="K210"/>
      <c r="L210"/>
    </row>
    <row r="211" spans="1:12">
      <c r="A211"/>
      <c r="B211"/>
      <c r="C211"/>
      <c r="D211"/>
      <c r="E211"/>
      <c r="F211"/>
      <c r="G211"/>
      <c r="H211"/>
      <c r="I211"/>
      <c r="J211"/>
      <c r="K211"/>
      <c r="L211"/>
    </row>
    <row r="212" spans="1:12">
      <c r="A212"/>
      <c r="B212"/>
      <c r="C212"/>
      <c r="D212"/>
      <c r="E212"/>
      <c r="F212"/>
      <c r="G212"/>
      <c r="H212"/>
      <c r="I212"/>
      <c r="J212"/>
      <c r="K212"/>
      <c r="L212"/>
    </row>
    <row r="213" spans="1:12">
      <c r="A213"/>
      <c r="B213"/>
      <c r="C213"/>
      <c r="D213"/>
      <c r="E213"/>
      <c r="F213"/>
      <c r="G213"/>
      <c r="H213"/>
      <c r="I213"/>
      <c r="J213"/>
      <c r="K213"/>
      <c r="L213"/>
    </row>
    <row r="214" spans="1:12">
      <c r="A214"/>
      <c r="B214"/>
      <c r="C214"/>
      <c r="D214"/>
      <c r="E214"/>
      <c r="F214"/>
      <c r="G214"/>
      <c r="H214"/>
      <c r="I214"/>
      <c r="J214"/>
      <c r="K214"/>
      <c r="L214"/>
    </row>
    <row r="215" spans="1:12">
      <c r="A215"/>
      <c r="B215"/>
      <c r="C215"/>
      <c r="D215"/>
      <c r="E215"/>
      <c r="F215"/>
      <c r="G215"/>
      <c r="H215"/>
      <c r="I215"/>
      <c r="J215"/>
      <c r="K215"/>
      <c r="L215"/>
    </row>
    <row r="216" spans="1:12">
      <c r="A216"/>
      <c r="B216"/>
      <c r="C216"/>
      <c r="D216"/>
      <c r="E216"/>
      <c r="F216"/>
      <c r="G216"/>
      <c r="H216"/>
      <c r="I216"/>
      <c r="J216"/>
      <c r="K216"/>
      <c r="L216"/>
    </row>
    <row r="217" spans="1:12">
      <c r="A217"/>
      <c r="B217"/>
      <c r="C217"/>
      <c r="D217"/>
      <c r="E217"/>
      <c r="F217"/>
      <c r="G217"/>
      <c r="H217"/>
      <c r="I217"/>
      <c r="J217"/>
      <c r="K217"/>
      <c r="L217"/>
    </row>
    <row r="218" spans="1:12">
      <c r="A218"/>
      <c r="B218"/>
      <c r="C218"/>
      <c r="D218"/>
      <c r="E218"/>
      <c r="F218"/>
      <c r="G218"/>
      <c r="H218"/>
      <c r="I218"/>
      <c r="J218"/>
      <c r="K218"/>
      <c r="L218"/>
    </row>
    <row r="219" spans="1:12">
      <c r="A219"/>
      <c r="B219"/>
      <c r="C219"/>
      <c r="D219"/>
      <c r="E219"/>
      <c r="F219"/>
      <c r="G219"/>
      <c r="H219"/>
      <c r="I219"/>
      <c r="J219"/>
      <c r="K219"/>
      <c r="L219"/>
    </row>
    <row r="220" spans="1:12">
      <c r="A220"/>
      <c r="B220"/>
      <c r="C220"/>
      <c r="D220"/>
      <c r="E220"/>
      <c r="F220"/>
      <c r="G220"/>
      <c r="H220"/>
      <c r="I220"/>
      <c r="J220"/>
      <c r="K220"/>
      <c r="L220"/>
    </row>
    <row r="221" spans="1:12">
      <c r="A221"/>
      <c r="B221"/>
      <c r="C221"/>
      <c r="D221"/>
      <c r="E221"/>
      <c r="F221"/>
      <c r="G221"/>
      <c r="H221"/>
      <c r="I221"/>
      <c r="J221"/>
      <c r="K221"/>
      <c r="L221"/>
    </row>
    <row r="222" spans="1:12">
      <c r="A222"/>
      <c r="B222"/>
      <c r="C222"/>
      <c r="D222"/>
      <c r="E222"/>
      <c r="F222"/>
      <c r="G222"/>
      <c r="H222"/>
      <c r="I222"/>
      <c r="J222"/>
      <c r="K222"/>
      <c r="L222"/>
    </row>
    <row r="223" spans="1:12">
      <c r="A223"/>
      <c r="B223"/>
      <c r="C223"/>
      <c r="D223"/>
      <c r="E223"/>
      <c r="F223"/>
      <c r="G223"/>
      <c r="H223"/>
      <c r="I223"/>
      <c r="J223"/>
      <c r="K223"/>
      <c r="L223"/>
    </row>
    <row r="224" spans="1:12">
      <c r="A224"/>
      <c r="B224"/>
      <c r="C224"/>
      <c r="D224"/>
      <c r="E224"/>
      <c r="F224"/>
      <c r="G224"/>
      <c r="H224"/>
      <c r="I224"/>
      <c r="J224"/>
      <c r="K224"/>
      <c r="L224"/>
    </row>
    <row r="225" spans="1:12">
      <c r="A225"/>
      <c r="B225"/>
      <c r="C225"/>
      <c r="D225"/>
      <c r="E225"/>
      <c r="F225"/>
      <c r="G225"/>
      <c r="H225"/>
      <c r="I225"/>
      <c r="J225"/>
      <c r="K225"/>
      <c r="L225"/>
    </row>
    <row r="226" spans="1:12">
      <c r="A226"/>
      <c r="B226"/>
      <c r="C226"/>
      <c r="D226"/>
      <c r="E226"/>
      <c r="F226"/>
      <c r="G226"/>
      <c r="H226"/>
      <c r="I226"/>
      <c r="J226"/>
      <c r="K226"/>
      <c r="L226"/>
    </row>
    <row r="227" spans="1:12">
      <c r="A227"/>
      <c r="B227"/>
      <c r="C227"/>
      <c r="D227"/>
      <c r="E227"/>
      <c r="F227"/>
      <c r="G227"/>
      <c r="H227"/>
      <c r="I227"/>
      <c r="J227"/>
      <c r="K227"/>
      <c r="L227"/>
    </row>
    <row r="228" spans="1:12">
      <c r="A228"/>
      <c r="B228"/>
      <c r="C228"/>
      <c r="D228"/>
      <c r="E228"/>
      <c r="F228"/>
      <c r="G228"/>
      <c r="H228"/>
      <c r="I228"/>
      <c r="J228"/>
      <c r="K228"/>
      <c r="L228"/>
    </row>
    <row r="229" spans="1:12">
      <c r="A229"/>
      <c r="B229"/>
      <c r="C229"/>
      <c r="D229"/>
      <c r="E229"/>
      <c r="F229"/>
      <c r="G229"/>
      <c r="H229"/>
      <c r="I229"/>
      <c r="J229"/>
      <c r="K229"/>
      <c r="L229"/>
    </row>
    <row r="230" spans="1:12">
      <c r="A230"/>
      <c r="B230"/>
      <c r="C230"/>
      <c r="D230"/>
      <c r="E230"/>
      <c r="F230"/>
      <c r="G230"/>
      <c r="H230"/>
      <c r="I230"/>
      <c r="J230"/>
      <c r="K230"/>
      <c r="L230"/>
    </row>
    <row r="231" spans="1:12">
      <c r="A231"/>
      <c r="B231"/>
      <c r="C231"/>
      <c r="D231"/>
      <c r="E231"/>
      <c r="F231"/>
      <c r="G231"/>
      <c r="H231"/>
      <c r="I231"/>
      <c r="J231"/>
      <c r="K231"/>
      <c r="L231"/>
    </row>
    <row r="232" spans="1:12">
      <c r="A232"/>
      <c r="B232"/>
      <c r="C232"/>
      <c r="D232"/>
      <c r="E232"/>
      <c r="F232"/>
      <c r="G232"/>
      <c r="H232"/>
      <c r="I232"/>
      <c r="J232"/>
      <c r="K232"/>
      <c r="L232"/>
    </row>
    <row r="233" spans="1:12">
      <c r="A233"/>
      <c r="B233"/>
      <c r="C233"/>
      <c r="D233"/>
      <c r="E233"/>
      <c r="F233"/>
      <c r="G233"/>
      <c r="H233"/>
      <c r="I233"/>
      <c r="J233"/>
      <c r="K233"/>
      <c r="L233"/>
    </row>
    <row r="234" spans="1:12">
      <c r="A234"/>
      <c r="B234"/>
      <c r="C234"/>
      <c r="D234"/>
      <c r="E234"/>
      <c r="F234"/>
      <c r="G234"/>
      <c r="H234"/>
      <c r="I234"/>
      <c r="J234"/>
      <c r="K234"/>
      <c r="L234"/>
    </row>
    <row r="235" spans="1:12">
      <c r="A235"/>
      <c r="B235"/>
      <c r="C235"/>
      <c r="D235"/>
      <c r="E235"/>
      <c r="F235"/>
      <c r="G235"/>
      <c r="H235"/>
      <c r="I235"/>
      <c r="J235"/>
      <c r="K235"/>
      <c r="L235"/>
    </row>
    <row r="236" spans="1:12">
      <c r="A236"/>
      <c r="B236"/>
      <c r="C236"/>
      <c r="D236"/>
      <c r="E236"/>
      <c r="F236"/>
      <c r="G236"/>
      <c r="H236"/>
      <c r="I236"/>
      <c r="J236"/>
      <c r="K236"/>
      <c r="L236"/>
    </row>
    <row r="237" spans="1:12">
      <c r="A237"/>
      <c r="B237"/>
      <c r="C237"/>
      <c r="D237"/>
      <c r="E237"/>
      <c r="F237"/>
      <c r="G237"/>
      <c r="H237"/>
      <c r="I237"/>
      <c r="J237"/>
      <c r="K237"/>
      <c r="L237"/>
    </row>
    <row r="238" spans="1:12">
      <c r="A238"/>
      <c r="B238"/>
      <c r="C238"/>
      <c r="D238"/>
      <c r="E238"/>
      <c r="F238"/>
      <c r="G238"/>
      <c r="H238"/>
      <c r="I238"/>
      <c r="J238"/>
      <c r="K238"/>
      <c r="L238"/>
    </row>
    <row r="239" spans="1:12">
      <c r="A239"/>
      <c r="B239"/>
      <c r="C239"/>
      <c r="D239"/>
      <c r="E239"/>
      <c r="F239"/>
      <c r="G239"/>
      <c r="H239"/>
      <c r="I239"/>
      <c r="J239"/>
      <c r="K239"/>
      <c r="L239"/>
    </row>
    <row r="240" spans="1:12">
      <c r="A240"/>
      <c r="B240"/>
      <c r="C240"/>
      <c r="D240"/>
      <c r="E240"/>
      <c r="F240"/>
      <c r="G240"/>
      <c r="H240"/>
      <c r="I240"/>
      <c r="J240"/>
      <c r="K240"/>
      <c r="L240"/>
    </row>
    <row r="241" spans="1:12">
      <c r="A241"/>
      <c r="B241"/>
      <c r="C241"/>
      <c r="D241"/>
      <c r="E241"/>
      <c r="F241"/>
      <c r="G241"/>
      <c r="H241"/>
      <c r="I241"/>
      <c r="J241"/>
      <c r="K241"/>
      <c r="L241"/>
    </row>
    <row r="242" spans="1:12">
      <c r="A242"/>
      <c r="B242"/>
      <c r="C242"/>
      <c r="D242"/>
      <c r="E242"/>
      <c r="F242"/>
      <c r="G242"/>
      <c r="H242"/>
      <c r="I242"/>
      <c r="J242"/>
      <c r="K242"/>
      <c r="L242"/>
    </row>
    <row r="243" spans="1:12">
      <c r="A243"/>
      <c r="B243"/>
      <c r="C243"/>
      <c r="D243"/>
      <c r="E243"/>
      <c r="F243"/>
      <c r="G243"/>
      <c r="H243"/>
      <c r="I243"/>
      <c r="J243"/>
      <c r="K243"/>
      <c r="L243"/>
    </row>
    <row r="244" spans="1:12">
      <c r="A244"/>
      <c r="B244"/>
      <c r="C244"/>
      <c r="D244"/>
      <c r="E244"/>
      <c r="F244"/>
      <c r="G244"/>
      <c r="H244"/>
      <c r="I244"/>
      <c r="J244"/>
      <c r="K244"/>
      <c r="L244"/>
    </row>
    <row r="245" spans="1:12">
      <c r="A245"/>
      <c r="B245"/>
      <c r="C245"/>
      <c r="D245"/>
      <c r="E245"/>
      <c r="F245"/>
      <c r="G245"/>
      <c r="H245"/>
      <c r="I245"/>
      <c r="J245"/>
      <c r="K245"/>
      <c r="L245"/>
    </row>
    <row r="246" spans="1:12">
      <c r="A246"/>
      <c r="B246"/>
      <c r="C246"/>
      <c r="D246"/>
      <c r="E246"/>
      <c r="F246"/>
      <c r="G246"/>
      <c r="H246"/>
      <c r="I246"/>
      <c r="J246"/>
      <c r="K246"/>
      <c r="L246"/>
    </row>
    <row r="247" spans="1:12">
      <c r="A247"/>
      <c r="B247"/>
      <c r="C247"/>
      <c r="D247"/>
      <c r="E247"/>
      <c r="F247"/>
      <c r="G247"/>
      <c r="H247"/>
      <c r="I247"/>
      <c r="J247"/>
      <c r="K247"/>
      <c r="L247"/>
    </row>
    <row r="248" spans="1:12">
      <c r="A248"/>
      <c r="B248"/>
      <c r="C248"/>
      <c r="D248"/>
      <c r="E248"/>
      <c r="F248"/>
      <c r="G248"/>
      <c r="H248"/>
      <c r="I248"/>
      <c r="J248"/>
      <c r="K248"/>
      <c r="L248"/>
    </row>
    <row r="249" spans="1:12">
      <c r="A249"/>
      <c r="B249"/>
      <c r="C249"/>
      <c r="D249"/>
      <c r="E249"/>
      <c r="F249"/>
      <c r="G249"/>
      <c r="H249"/>
      <c r="I249"/>
      <c r="J249"/>
      <c r="K249"/>
      <c r="L249"/>
    </row>
    <row r="250" spans="1:12">
      <c r="A250"/>
      <c r="B250"/>
      <c r="C250"/>
      <c r="D250"/>
      <c r="E250"/>
      <c r="F250"/>
      <c r="G250"/>
      <c r="H250"/>
      <c r="I250"/>
      <c r="J250"/>
      <c r="K250"/>
      <c r="L250"/>
    </row>
    <row r="251" spans="1:12">
      <c r="A251"/>
      <c r="B251"/>
      <c r="C251"/>
      <c r="D251"/>
      <c r="E251"/>
      <c r="F251"/>
      <c r="G251"/>
      <c r="H251"/>
      <c r="I251"/>
      <c r="J251"/>
      <c r="K251"/>
      <c r="L251"/>
    </row>
    <row r="252" spans="1:12">
      <c r="A252"/>
      <c r="B252"/>
      <c r="C252"/>
      <c r="D252"/>
      <c r="E252"/>
      <c r="F252"/>
      <c r="G252"/>
      <c r="H252"/>
      <c r="I252"/>
      <c r="J252"/>
      <c r="K252"/>
      <c r="L252"/>
    </row>
    <row r="253" spans="1:12">
      <c r="A253"/>
      <c r="B253"/>
      <c r="C253"/>
      <c r="D253"/>
      <c r="E253"/>
      <c r="F253"/>
      <c r="G253"/>
      <c r="H253"/>
      <c r="I253"/>
      <c r="J253"/>
      <c r="K253"/>
      <c r="L253"/>
    </row>
    <row r="254" spans="1:12">
      <c r="A254"/>
      <c r="B254"/>
      <c r="C254"/>
      <c r="D254"/>
      <c r="E254"/>
      <c r="F254"/>
      <c r="G254"/>
      <c r="H254"/>
      <c r="I254"/>
      <c r="J254"/>
      <c r="K254"/>
      <c r="L254"/>
    </row>
    <row r="255" spans="1:12">
      <c r="A255"/>
      <c r="B255"/>
      <c r="C255"/>
      <c r="D255"/>
      <c r="E255"/>
      <c r="F255"/>
      <c r="G255"/>
      <c r="H255"/>
      <c r="I255"/>
      <c r="J255"/>
      <c r="K255"/>
      <c r="L255"/>
    </row>
    <row r="256" spans="1:12">
      <c r="A256"/>
      <c r="B256"/>
      <c r="C256"/>
      <c r="D256"/>
      <c r="E256"/>
      <c r="F256"/>
      <c r="G256"/>
      <c r="H256"/>
      <c r="I256"/>
      <c r="J256"/>
      <c r="K256"/>
      <c r="L256"/>
    </row>
    <row r="257" spans="1:12">
      <c r="A257"/>
      <c r="B257"/>
      <c r="C257"/>
      <c r="D257"/>
      <c r="E257"/>
      <c r="F257"/>
      <c r="G257"/>
      <c r="H257"/>
      <c r="I257"/>
      <c r="J257"/>
      <c r="K257"/>
      <c r="L257"/>
    </row>
    <row r="258" spans="1:12">
      <c r="A258"/>
      <c r="B258"/>
      <c r="C258"/>
      <c r="D258"/>
      <c r="E258"/>
      <c r="F258"/>
      <c r="G258"/>
      <c r="H258"/>
      <c r="I258"/>
      <c r="J258"/>
      <c r="K258"/>
      <c r="L258"/>
    </row>
    <row r="259" spans="1:12">
      <c r="A259"/>
      <c r="B259"/>
      <c r="C259"/>
      <c r="D259"/>
      <c r="E259"/>
      <c r="F259"/>
      <c r="G259"/>
      <c r="H259"/>
      <c r="I259"/>
      <c r="J259"/>
      <c r="K259"/>
      <c r="L259"/>
    </row>
    <row r="260" spans="1:12">
      <c r="A260"/>
      <c r="B260"/>
      <c r="C260"/>
      <c r="D260"/>
      <c r="E260"/>
      <c r="F260"/>
      <c r="G260"/>
      <c r="H260"/>
      <c r="I260"/>
      <c r="J260"/>
      <c r="K260"/>
      <c r="L260"/>
    </row>
    <row r="261" spans="1:12">
      <c r="A261"/>
      <c r="B261"/>
      <c r="C261"/>
      <c r="D261"/>
      <c r="E261"/>
      <c r="F261"/>
      <c r="G261"/>
      <c r="H261"/>
      <c r="I261"/>
      <c r="J261"/>
      <c r="K261"/>
      <c r="L261"/>
    </row>
    <row r="262" spans="1:12">
      <c r="A262"/>
      <c r="B262"/>
      <c r="C262"/>
      <c r="D262"/>
      <c r="E262"/>
      <c r="F262"/>
      <c r="G262"/>
      <c r="H262"/>
      <c r="I262"/>
      <c r="J262"/>
      <c r="K262"/>
      <c r="L262"/>
    </row>
  </sheetData>
  <mergeCells count="9">
    <mergeCell ref="E58:E60"/>
    <mergeCell ref="B63:C63"/>
    <mergeCell ref="A3:L3"/>
    <mergeCell ref="D24:G24"/>
    <mergeCell ref="H24:K24"/>
    <mergeCell ref="B39:B40"/>
    <mergeCell ref="C39:E39"/>
    <mergeCell ref="B54:B56"/>
    <mergeCell ref="C54:C56"/>
  </mergeCells>
  <pageMargins left="0.7" right="0.7" top="0.75" bottom="0.75" header="0.3" footer="0.3"/>
  <pageSetup orientation="portrait" horizontalDpi="0"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2DD6F-BEF1-4F60-B097-131CE417079D}">
  <dimension ref="A1:BW275"/>
  <sheetViews>
    <sheetView zoomScaleNormal="100" workbookViewId="0"/>
  </sheetViews>
  <sheetFormatPr defaultColWidth="9.109375" defaultRowHeight="15.6"/>
  <cols>
    <col min="1" max="1" width="9.109375" style="1"/>
    <col min="2" max="3" width="12.6640625" style="1" customWidth="1"/>
    <col min="4" max="7" width="17.109375" style="1" customWidth="1"/>
    <col min="8" max="12" width="12.6640625" style="1" customWidth="1"/>
    <col min="13" max="13" width="13.33203125" customWidth="1"/>
    <col min="14" max="14" width="14.5546875" customWidth="1"/>
    <col min="15" max="15" width="12.88671875" customWidth="1"/>
    <col min="16" max="16" width="14.5546875" customWidth="1"/>
    <col min="76" max="16384" width="9.109375" style="1"/>
  </cols>
  <sheetData>
    <row r="1" spans="1:12" ht="15.75" customHeight="1">
      <c r="A1" s="23" t="s">
        <v>1201</v>
      </c>
      <c r="B1" s="22"/>
      <c r="C1" s="5" t="s">
        <v>38</v>
      </c>
      <c r="D1" s="22"/>
      <c r="E1" s="22"/>
      <c r="F1" s="22"/>
      <c r="G1" s="22"/>
      <c r="H1" s="22"/>
      <c r="I1" s="22"/>
      <c r="J1" s="22"/>
      <c r="K1" s="22"/>
      <c r="L1" s="2"/>
    </row>
    <row r="2" spans="1:12" ht="15.75" customHeight="1">
      <c r="A2" s="497"/>
      <c r="B2" s="22"/>
      <c r="C2" s="5"/>
      <c r="D2" s="497"/>
      <c r="E2" s="497"/>
      <c r="F2" s="497"/>
      <c r="G2" s="497"/>
      <c r="H2" s="497"/>
      <c r="I2" s="497"/>
      <c r="J2" s="497"/>
      <c r="K2" s="497"/>
      <c r="L2" s="701"/>
    </row>
    <row r="3" spans="1:12">
      <c r="A3" s="1733" t="s">
        <v>2722</v>
      </c>
      <c r="B3" s="1733"/>
      <c r="C3" s="1733"/>
      <c r="D3" s="1733"/>
      <c r="E3" s="1733"/>
      <c r="F3" s="1733"/>
      <c r="G3" s="1733"/>
      <c r="H3" s="1733"/>
      <c r="I3" s="1733"/>
      <c r="J3" s="1733"/>
      <c r="K3" s="1733"/>
      <c r="L3" s="1733"/>
    </row>
    <row r="4" spans="1:12" ht="15.75" customHeight="1">
      <c r="A4" s="162"/>
      <c r="B4" s="162"/>
      <c r="C4" s="162"/>
      <c r="D4" s="162"/>
      <c r="E4" s="162"/>
      <c r="F4" s="162"/>
      <c r="G4" s="162"/>
      <c r="H4" s="162"/>
      <c r="I4" s="162"/>
      <c r="J4" s="162"/>
      <c r="K4" s="162"/>
      <c r="L4" s="162"/>
    </row>
    <row r="5" spans="1:12" ht="15.75" customHeight="1">
      <c r="A5" s="162"/>
      <c r="B5" s="686"/>
      <c r="C5" s="686"/>
      <c r="D5" s="686" t="s">
        <v>2666</v>
      </c>
      <c r="E5" s="686" t="s">
        <v>2666</v>
      </c>
      <c r="F5" s="1284"/>
      <c r="G5" s="1284"/>
      <c r="H5" s="162"/>
      <c r="I5" s="162"/>
      <c r="J5" s="162"/>
      <c r="K5" s="162"/>
      <c r="L5" s="162"/>
    </row>
    <row r="6" spans="1:12" ht="15.75" customHeight="1">
      <c r="A6" s="162"/>
      <c r="B6" s="684" t="s">
        <v>2632</v>
      </c>
      <c r="C6" s="684" t="s">
        <v>2721</v>
      </c>
      <c r="D6" s="684" t="s">
        <v>2712</v>
      </c>
      <c r="E6" s="684" t="s">
        <v>2711</v>
      </c>
      <c r="F6" s="1284"/>
      <c r="G6" s="1284"/>
      <c r="H6" s="162"/>
      <c r="I6" s="162"/>
      <c r="J6" s="162"/>
      <c r="K6" s="162"/>
      <c r="L6" s="162"/>
    </row>
    <row r="7" spans="1:12" ht="15.75" customHeight="1">
      <c r="A7" s="162"/>
      <c r="B7" s="133">
        <v>1</v>
      </c>
      <c r="C7" s="1056">
        <v>0.01</v>
      </c>
      <c r="D7" s="132">
        <v>1350000</v>
      </c>
      <c r="E7" s="132">
        <v>250000</v>
      </c>
      <c r="F7" s="249"/>
      <c r="G7" s="249"/>
      <c r="H7" s="162"/>
      <c r="I7" s="162"/>
      <c r="J7" s="162"/>
      <c r="K7" s="162"/>
      <c r="L7" s="162"/>
    </row>
    <row r="8" spans="1:12" ht="15.75" customHeight="1">
      <c r="A8" s="162"/>
      <c r="B8" s="133">
        <v>2</v>
      </c>
      <c r="C8" s="1056">
        <v>5.0000000000000001E-3</v>
      </c>
      <c r="D8" s="132">
        <v>2575000</v>
      </c>
      <c r="E8" s="132">
        <v>1795000</v>
      </c>
      <c r="F8" s="249"/>
      <c r="G8" s="249"/>
      <c r="H8" s="162"/>
      <c r="I8" s="162"/>
      <c r="J8" s="162"/>
      <c r="K8" s="162"/>
      <c r="L8" s="162"/>
    </row>
    <row r="9" spans="1:12" ht="15.75" customHeight="1">
      <c r="A9" s="162"/>
      <c r="B9" s="133">
        <v>3</v>
      </c>
      <c r="C9" s="1056">
        <v>4.0000000000000001E-3</v>
      </c>
      <c r="D9" s="132">
        <v>3210000</v>
      </c>
      <c r="E9" s="132">
        <v>475000</v>
      </c>
      <c r="F9" s="249"/>
      <c r="G9" s="249"/>
      <c r="H9" s="162"/>
      <c r="I9" s="162"/>
      <c r="J9" s="162"/>
      <c r="K9" s="162"/>
      <c r="L9" s="162"/>
    </row>
    <row r="10" spans="1:12" ht="15.75" customHeight="1">
      <c r="A10" s="162"/>
      <c r="B10" s="133">
        <v>4</v>
      </c>
      <c r="C10" s="1056">
        <v>1.4999999999999999E-2</v>
      </c>
      <c r="D10" s="132">
        <v>450000</v>
      </c>
      <c r="E10" s="132">
        <v>850000</v>
      </c>
      <c r="F10" s="249"/>
      <c r="G10" s="249"/>
      <c r="H10" s="162"/>
      <c r="I10" s="162"/>
      <c r="J10" s="162"/>
      <c r="K10" s="162"/>
      <c r="L10" s="162"/>
    </row>
    <row r="11" spans="1:12" ht="15.75" customHeight="1">
      <c r="A11" s="162"/>
      <c r="B11" s="133">
        <v>5</v>
      </c>
      <c r="C11" s="1056">
        <v>6.0000000000000001E-3</v>
      </c>
      <c r="D11" s="132">
        <v>225000</v>
      </c>
      <c r="E11" s="132">
        <v>3420000</v>
      </c>
      <c r="F11" s="249"/>
      <c r="G11" s="249"/>
      <c r="H11" s="162"/>
      <c r="I11" s="162"/>
      <c r="J11" s="162"/>
      <c r="K11" s="162"/>
      <c r="L11" s="162"/>
    </row>
    <row r="12" spans="1:12" ht="15.75" customHeight="1">
      <c r="A12" s="162"/>
      <c r="B12" s="133">
        <v>6</v>
      </c>
      <c r="C12" s="1056">
        <v>3.0000000000000001E-3</v>
      </c>
      <c r="D12" s="132">
        <v>1985000</v>
      </c>
      <c r="E12" s="132">
        <v>6155000</v>
      </c>
      <c r="F12" s="249"/>
      <c r="G12" s="249"/>
      <c r="H12" s="162"/>
      <c r="I12" s="162"/>
      <c r="J12" s="162"/>
      <c r="K12" s="162"/>
      <c r="L12" s="162"/>
    </row>
    <row r="13" spans="1:12" ht="15.75" customHeight="1">
      <c r="A13" s="162"/>
      <c r="B13" s="162"/>
      <c r="C13" s="162"/>
      <c r="D13" s="162"/>
      <c r="E13" s="162"/>
      <c r="F13" s="162"/>
      <c r="G13" s="162"/>
      <c r="H13" s="162"/>
      <c r="I13" s="162"/>
      <c r="J13" s="162"/>
      <c r="K13" s="162"/>
      <c r="L13" s="162"/>
    </row>
    <row r="14" spans="1:12" ht="15.75" customHeight="1">
      <c r="A14" s="162" t="s">
        <v>2720</v>
      </c>
      <c r="B14" s="162"/>
      <c r="C14" s="162"/>
      <c r="D14" s="162"/>
      <c r="E14" s="162"/>
      <c r="F14" s="162"/>
      <c r="G14" s="162"/>
      <c r="H14" s="162"/>
      <c r="I14" s="162"/>
      <c r="J14" s="162"/>
      <c r="K14" s="162"/>
      <c r="L14" s="162"/>
    </row>
    <row r="15" spans="1:12" ht="15.75" customHeight="1">
      <c r="A15" s="162" t="s">
        <v>2719</v>
      </c>
      <c r="B15" s="162"/>
      <c r="C15" s="162"/>
      <c r="D15" s="1556">
        <v>2.3999999999999998E-7</v>
      </c>
      <c r="E15" s="162"/>
      <c r="F15" s="162"/>
      <c r="G15" s="162"/>
      <c r="H15" s="162"/>
      <c r="I15" s="162"/>
      <c r="J15" s="162"/>
      <c r="K15" s="162"/>
      <c r="L15" s="162"/>
    </row>
    <row r="16" spans="1:12" ht="15.75" customHeight="1">
      <c r="A16" s="3"/>
      <c r="B16" s="3"/>
      <c r="C16" s="674"/>
      <c r="D16" s="163"/>
      <c r="E16" s="3"/>
      <c r="F16" s="3"/>
      <c r="G16" s="3"/>
      <c r="H16" s="3"/>
      <c r="I16" s="3"/>
      <c r="J16" s="3"/>
      <c r="K16" s="1224"/>
      <c r="L16" s="3"/>
    </row>
    <row r="17" spans="1:12" ht="15.75" customHeight="1">
      <c r="A17" s="3" t="s">
        <v>80</v>
      </c>
      <c r="B17" s="3" t="s">
        <v>2718</v>
      </c>
      <c r="C17" s="3"/>
      <c r="D17" s="3"/>
      <c r="E17" s="3"/>
      <c r="F17" s="3"/>
      <c r="G17" s="3"/>
      <c r="H17" s="3"/>
      <c r="I17" s="3"/>
      <c r="J17" s="3"/>
      <c r="K17" s="3"/>
      <c r="L17" s="2"/>
    </row>
    <row r="18" spans="1:12" ht="15.75" customHeight="1">
      <c r="A18" s="3"/>
      <c r="B18" s="760" t="s">
        <v>350</v>
      </c>
      <c r="C18" s="3" t="s">
        <v>2717</v>
      </c>
      <c r="D18" s="3"/>
      <c r="E18" s="3"/>
      <c r="F18" s="3"/>
      <c r="G18" s="3"/>
      <c r="H18" s="3"/>
      <c r="I18" s="3"/>
      <c r="J18" s="3"/>
      <c r="K18" s="3"/>
      <c r="L18" s="2"/>
    </row>
    <row r="19" spans="1:12" ht="15.75" customHeight="1">
      <c r="A19" s="3"/>
      <c r="B19" s="760" t="s">
        <v>344</v>
      </c>
      <c r="C19" s="3" t="s">
        <v>2716</v>
      </c>
      <c r="D19" s="3"/>
      <c r="E19" s="3"/>
      <c r="F19" s="3"/>
      <c r="G19" s="3"/>
      <c r="H19" s="3"/>
      <c r="I19" s="3"/>
      <c r="J19" s="3"/>
      <c r="K19" s="3"/>
      <c r="L19" s="2"/>
    </row>
    <row r="20" spans="1:12" ht="15.75" customHeight="1">
      <c r="A20" s="3"/>
      <c r="B20" s="760" t="s">
        <v>974</v>
      </c>
      <c r="C20" s="3" t="s">
        <v>2667</v>
      </c>
      <c r="D20" s="3"/>
      <c r="E20" s="3"/>
      <c r="F20" s="3"/>
      <c r="G20" s="3"/>
      <c r="H20" s="3"/>
      <c r="I20" s="3"/>
      <c r="J20" s="3"/>
      <c r="K20" s="3"/>
      <c r="L20" s="2"/>
    </row>
    <row r="21" spans="1:12" ht="15.75" customHeight="1">
      <c r="A21" s="5"/>
      <c r="B21" s="5" t="s">
        <v>64</v>
      </c>
      <c r="C21" s="5"/>
      <c r="D21" s="4"/>
      <c r="E21" s="4"/>
      <c r="F21" s="4"/>
      <c r="G21" s="4"/>
      <c r="H21" s="3"/>
      <c r="I21" s="3"/>
      <c r="J21" s="2"/>
      <c r="K21" s="3"/>
      <c r="L21" s="2"/>
    </row>
    <row r="22" spans="1:12" ht="15.75" customHeight="1">
      <c r="A22" s="139"/>
      <c r="B22" s="139"/>
      <c r="C22" s="139"/>
      <c r="D22" s="139"/>
      <c r="E22" s="139"/>
      <c r="F22" s="139"/>
      <c r="G22" s="139"/>
      <c r="H22" s="139"/>
      <c r="I22" s="139"/>
      <c r="J22" s="139"/>
      <c r="K22" s="139"/>
      <c r="L22" s="139"/>
    </row>
    <row r="23" spans="1:12" ht="15.75" customHeight="1">
      <c r="A23" s="139"/>
      <c r="B23" s="1555"/>
      <c r="C23" s="1555"/>
      <c r="D23" s="1555"/>
      <c r="E23" s="1555" t="s">
        <v>2666</v>
      </c>
      <c r="F23" s="1555" t="s">
        <v>2666</v>
      </c>
      <c r="G23" s="1555" t="s">
        <v>2666</v>
      </c>
      <c r="H23" s="139"/>
      <c r="I23" s="139"/>
      <c r="J23" s="139"/>
      <c r="K23" s="139"/>
      <c r="L23" s="139"/>
    </row>
    <row r="24" spans="1:12" ht="15.75" customHeight="1">
      <c r="A24" s="139"/>
      <c r="B24" s="1554" t="s">
        <v>2715</v>
      </c>
      <c r="C24" s="1554" t="s">
        <v>2714</v>
      </c>
      <c r="D24" s="1554" t="s">
        <v>2713</v>
      </c>
      <c r="E24" s="1554" t="s">
        <v>2712</v>
      </c>
      <c r="F24" s="1554" t="s">
        <v>2711</v>
      </c>
      <c r="G24" s="1554" t="s">
        <v>2710</v>
      </c>
      <c r="H24" s="139"/>
      <c r="I24" s="139"/>
      <c r="J24" s="139"/>
      <c r="K24" s="139"/>
      <c r="L24" s="139"/>
    </row>
    <row r="25" spans="1:12" ht="15.75" customHeight="1">
      <c r="A25" s="139"/>
      <c r="B25" s="1553">
        <f t="shared" ref="B25:C30" si="0">B7</f>
        <v>1</v>
      </c>
      <c r="C25" s="1552">
        <f t="shared" si="0"/>
        <v>0.01</v>
      </c>
      <c r="D25" s="1552">
        <f t="shared" ref="D25:D30" si="1">1-C25</f>
        <v>0.99</v>
      </c>
      <c r="E25" s="1551">
        <f t="shared" ref="E25:F30" si="2">D7</f>
        <v>1350000</v>
      </c>
      <c r="F25" s="1551">
        <f t="shared" si="2"/>
        <v>250000</v>
      </c>
      <c r="G25" s="1551">
        <f t="shared" ref="G25:G30" si="3">SUM(E25:F25)</f>
        <v>1600000</v>
      </c>
      <c r="H25" s="139"/>
      <c r="I25" s="139"/>
      <c r="J25" s="139"/>
      <c r="K25" s="139"/>
      <c r="L25" s="139"/>
    </row>
    <row r="26" spans="1:12" ht="15.75" customHeight="1">
      <c r="A26" s="139"/>
      <c r="B26" s="1553">
        <f t="shared" si="0"/>
        <v>2</v>
      </c>
      <c r="C26" s="1552">
        <f t="shared" si="0"/>
        <v>5.0000000000000001E-3</v>
      </c>
      <c r="D26" s="1552">
        <f t="shared" si="1"/>
        <v>0.995</v>
      </c>
      <c r="E26" s="1551">
        <f t="shared" si="2"/>
        <v>2575000</v>
      </c>
      <c r="F26" s="1551">
        <f t="shared" si="2"/>
        <v>1795000</v>
      </c>
      <c r="G26" s="1551">
        <f t="shared" si="3"/>
        <v>4370000</v>
      </c>
      <c r="H26" s="139"/>
      <c r="I26" s="139"/>
      <c r="J26" s="139"/>
      <c r="K26" s="139"/>
      <c r="L26" s="139"/>
    </row>
    <row r="27" spans="1:12" ht="15.75" customHeight="1">
      <c r="A27" s="139"/>
      <c r="B27" s="1553">
        <f t="shared" si="0"/>
        <v>3</v>
      </c>
      <c r="C27" s="1552">
        <f t="shared" si="0"/>
        <v>4.0000000000000001E-3</v>
      </c>
      <c r="D27" s="1552">
        <f t="shared" si="1"/>
        <v>0.996</v>
      </c>
      <c r="E27" s="1551">
        <f t="shared" si="2"/>
        <v>3210000</v>
      </c>
      <c r="F27" s="1551">
        <f t="shared" si="2"/>
        <v>475000</v>
      </c>
      <c r="G27" s="1551">
        <f t="shared" si="3"/>
        <v>3685000</v>
      </c>
      <c r="H27" s="139"/>
      <c r="I27" s="139"/>
      <c r="J27" s="139"/>
      <c r="K27" s="139"/>
      <c r="L27" s="139"/>
    </row>
    <row r="28" spans="1:12" ht="15.75" customHeight="1">
      <c r="A28" s="139"/>
      <c r="B28" s="1553">
        <f t="shared" si="0"/>
        <v>4</v>
      </c>
      <c r="C28" s="1552">
        <f t="shared" si="0"/>
        <v>1.4999999999999999E-2</v>
      </c>
      <c r="D28" s="1552">
        <f t="shared" si="1"/>
        <v>0.98499999999999999</v>
      </c>
      <c r="E28" s="1551">
        <f t="shared" si="2"/>
        <v>450000</v>
      </c>
      <c r="F28" s="1551">
        <f t="shared" si="2"/>
        <v>850000</v>
      </c>
      <c r="G28" s="1551">
        <f t="shared" si="3"/>
        <v>1300000</v>
      </c>
      <c r="H28" s="139"/>
      <c r="I28" s="139"/>
      <c r="J28" s="139"/>
      <c r="K28" s="139"/>
      <c r="L28" s="139"/>
    </row>
    <row r="29" spans="1:12" ht="15.75" customHeight="1">
      <c r="A29" s="139"/>
      <c r="B29" s="1553">
        <f t="shared" si="0"/>
        <v>5</v>
      </c>
      <c r="C29" s="1552">
        <f t="shared" si="0"/>
        <v>6.0000000000000001E-3</v>
      </c>
      <c r="D29" s="1552">
        <f t="shared" si="1"/>
        <v>0.99399999999999999</v>
      </c>
      <c r="E29" s="1551">
        <f t="shared" si="2"/>
        <v>225000</v>
      </c>
      <c r="F29" s="1551">
        <f t="shared" si="2"/>
        <v>3420000</v>
      </c>
      <c r="G29" s="1551">
        <f t="shared" si="3"/>
        <v>3645000</v>
      </c>
      <c r="H29" s="139"/>
      <c r="I29" s="139"/>
      <c r="J29" s="139"/>
      <c r="K29" s="139"/>
      <c r="L29" s="139"/>
    </row>
    <row r="30" spans="1:12" ht="15.75" customHeight="1">
      <c r="A30" s="139"/>
      <c r="B30" s="1553">
        <f t="shared" si="0"/>
        <v>6</v>
      </c>
      <c r="C30" s="1552">
        <f t="shared" si="0"/>
        <v>3.0000000000000001E-3</v>
      </c>
      <c r="D30" s="1552">
        <f t="shared" si="1"/>
        <v>0.997</v>
      </c>
      <c r="E30" s="1551">
        <f t="shared" si="2"/>
        <v>1985000</v>
      </c>
      <c r="F30" s="1551">
        <f t="shared" si="2"/>
        <v>6155000</v>
      </c>
      <c r="G30" s="1551">
        <f t="shared" si="3"/>
        <v>8140000</v>
      </c>
      <c r="H30" s="139"/>
      <c r="I30" s="139"/>
      <c r="J30" s="139"/>
      <c r="K30" s="139"/>
      <c r="L30" s="139"/>
    </row>
    <row r="31" spans="1:12" ht="15.75" customHeight="1" thickBot="1">
      <c r="A31" s="139"/>
      <c r="B31" s="139"/>
      <c r="C31" s="139"/>
      <c r="D31" s="139"/>
      <c r="E31" s="139"/>
      <c r="F31" s="139"/>
      <c r="G31" s="139"/>
      <c r="H31" s="139"/>
      <c r="I31" s="139"/>
      <c r="J31" s="139"/>
      <c r="K31" s="139"/>
      <c r="L31" s="139"/>
    </row>
    <row r="32" spans="1:12" ht="15.75" customHeight="1">
      <c r="A32" s="139"/>
      <c r="C32" s="139"/>
      <c r="D32" s="1550"/>
      <c r="E32" s="1549" t="s">
        <v>2712</v>
      </c>
      <c r="F32" s="1549" t="s">
        <v>2711</v>
      </c>
      <c r="G32" s="1548" t="s">
        <v>2710</v>
      </c>
      <c r="H32" s="139"/>
      <c r="I32" s="139"/>
      <c r="J32" s="139"/>
      <c r="K32" s="139"/>
      <c r="L32" s="139"/>
    </row>
    <row r="33" spans="1:12" ht="15.75" customHeight="1">
      <c r="A33" s="139"/>
      <c r="C33" s="139"/>
      <c r="D33" s="1547" t="s">
        <v>2709</v>
      </c>
      <c r="E33" s="1539" cm="1">
        <f t="array" ref="E33">SUMPRODUCT($C25:$C30*E25:E30)</f>
        <v>53270</v>
      </c>
      <c r="F33" s="1539" cm="1">
        <f t="array" ref="F33">SUMPRODUCT($C25:$C30*F25:F30)</f>
        <v>65110</v>
      </c>
      <c r="G33" s="1538" cm="1">
        <f t="array" ref="G33">SUMPRODUCT($C25:$C30*G25:G30)</f>
        <v>118380</v>
      </c>
      <c r="H33" s="139"/>
      <c r="I33" s="139"/>
      <c r="J33" s="139"/>
      <c r="K33" s="139"/>
      <c r="L33" s="139"/>
    </row>
    <row r="34" spans="1:12" ht="15.75" customHeight="1">
      <c r="A34" s="139"/>
      <c r="C34" s="139"/>
      <c r="D34" s="1547" t="s">
        <v>2708</v>
      </c>
      <c r="E34" s="1539" cm="1">
        <f t="array" ref="E34">SUMPRODUCT(E$25:E$30*E$25:E$30*$C$25:$C$30*$D$25:$D$30)</f>
        <v>107160721750</v>
      </c>
      <c r="F34" s="1539" cm="1">
        <f t="array" ref="F34">SUMPRODUCT(F$25:F$30*F$25:F$30*$C$25:$C$30*$D$25:$D$30)</f>
        <v>211290600250</v>
      </c>
      <c r="G34" s="1538" cm="1">
        <f t="array" ref="G34">SUMPRODUCT(G$25:G$30*G$25:G$30*$C$25:$C$30*$D$25:$D$30)</f>
        <v>476840776600</v>
      </c>
      <c r="H34" s="139"/>
      <c r="I34" s="139"/>
      <c r="J34" s="139"/>
      <c r="K34" s="139"/>
      <c r="L34" s="139"/>
    </row>
    <row r="35" spans="1:12" ht="15.75" customHeight="1" thickBot="1">
      <c r="A35" s="139"/>
      <c r="C35" s="139"/>
      <c r="D35" s="1546" t="s">
        <v>2707</v>
      </c>
      <c r="E35" s="1545">
        <f>E34^0.5/E33</f>
        <v>6.1451872133423269</v>
      </c>
      <c r="F35" s="1545">
        <f>F34^0.5/F33</f>
        <v>7.0597999216510772</v>
      </c>
      <c r="G35" s="1544">
        <f>G34^0.5/G33</f>
        <v>5.8332200202459541</v>
      </c>
      <c r="H35" s="139"/>
      <c r="I35" s="139"/>
      <c r="J35" s="139"/>
      <c r="K35" s="139"/>
      <c r="L35" s="139"/>
    </row>
    <row r="36" spans="1:12" ht="15.75" customHeight="1">
      <c r="A36" s="139"/>
      <c r="B36" s="139"/>
      <c r="C36" s="139"/>
      <c r="D36" s="139"/>
      <c r="E36" s="139"/>
      <c r="F36" s="139"/>
      <c r="G36" s="139"/>
      <c r="H36" s="139"/>
      <c r="I36" s="139"/>
      <c r="J36" s="139"/>
      <c r="K36" s="139"/>
      <c r="L36" s="139"/>
    </row>
    <row r="37" spans="1:12" ht="15.75" customHeight="1">
      <c r="A37" s="3" t="s">
        <v>9</v>
      </c>
      <c r="B37" s="3" t="s">
        <v>2706</v>
      </c>
      <c r="C37" s="3"/>
      <c r="D37" s="3"/>
      <c r="E37" s="3"/>
      <c r="F37" s="3"/>
      <c r="G37" s="3"/>
      <c r="H37" s="3"/>
      <c r="I37" s="3"/>
      <c r="J37" s="3"/>
      <c r="K37" s="3"/>
      <c r="L37" s="2"/>
    </row>
    <row r="38" spans="1:12" ht="15.75" customHeight="1">
      <c r="A38" s="3"/>
      <c r="B38" s="760" t="s">
        <v>350</v>
      </c>
      <c r="C38" s="3" t="s">
        <v>2625</v>
      </c>
      <c r="D38" s="3"/>
      <c r="E38" s="3"/>
      <c r="F38" s="3"/>
      <c r="G38" s="3"/>
      <c r="H38" s="3"/>
      <c r="I38" s="3"/>
      <c r="J38" s="3"/>
      <c r="K38" s="3"/>
      <c r="L38" s="2"/>
    </row>
    <row r="39" spans="1:12" ht="15.75" customHeight="1">
      <c r="A39" s="3"/>
      <c r="B39" s="760" t="s">
        <v>344</v>
      </c>
      <c r="C39" s="3" t="s">
        <v>2638</v>
      </c>
      <c r="D39" s="3"/>
      <c r="E39" s="3"/>
      <c r="F39" s="3"/>
      <c r="G39" s="3"/>
      <c r="H39" s="3"/>
      <c r="I39" s="3"/>
      <c r="J39" s="3"/>
      <c r="K39" s="3"/>
      <c r="L39" s="2"/>
    </row>
    <row r="40" spans="1:12" ht="15.75" customHeight="1">
      <c r="A40" s="3"/>
      <c r="B40" s="760" t="s">
        <v>974</v>
      </c>
      <c r="C40" s="3" t="s">
        <v>2705</v>
      </c>
      <c r="D40" s="3"/>
      <c r="E40" s="3"/>
      <c r="F40" s="3"/>
      <c r="G40" s="3"/>
      <c r="H40" s="3"/>
      <c r="I40" s="3"/>
      <c r="J40" s="3"/>
      <c r="K40" s="3"/>
      <c r="L40" s="2"/>
    </row>
    <row r="41" spans="1:12" ht="15.75" customHeight="1">
      <c r="A41" s="5"/>
      <c r="B41" s="5" t="s">
        <v>64</v>
      </c>
      <c r="C41" s="5"/>
      <c r="D41" s="4"/>
      <c r="E41" s="4"/>
      <c r="F41" s="4"/>
      <c r="G41" s="4"/>
      <c r="H41" s="3"/>
      <c r="I41" s="3"/>
      <c r="J41" s="2"/>
      <c r="K41" s="3"/>
      <c r="L41" s="2"/>
    </row>
    <row r="42" spans="1:12" ht="15.75" customHeight="1" thickBot="1">
      <c r="A42" s="139"/>
      <c r="B42" s="139"/>
      <c r="C42" s="139"/>
      <c r="D42" s="139"/>
      <c r="E42" s="139"/>
      <c r="F42" s="139"/>
      <c r="G42" s="139"/>
      <c r="H42" s="139"/>
      <c r="I42" s="139"/>
      <c r="J42" s="139"/>
      <c r="K42" s="139"/>
      <c r="L42" s="139"/>
    </row>
    <row r="43" spans="1:12" ht="15.75" customHeight="1">
      <c r="A43" s="139"/>
      <c r="B43" s="1543" t="s">
        <v>2704</v>
      </c>
      <c r="C43" s="1542"/>
      <c r="D43" s="1542"/>
      <c r="E43" s="1542"/>
      <c r="F43" s="1541"/>
      <c r="G43" s="139"/>
      <c r="H43" s="139"/>
      <c r="I43" s="139"/>
      <c r="J43" s="139"/>
      <c r="K43" s="139"/>
      <c r="L43" s="139"/>
    </row>
    <row r="44" spans="1:12" ht="15.75" customHeight="1">
      <c r="A44" s="139"/>
      <c r="B44" s="1524"/>
      <c r="C44" s="139"/>
      <c r="D44" s="9"/>
      <c r="E44" s="269" t="s">
        <v>1231</v>
      </c>
      <c r="F44" s="1525" t="s">
        <v>1230</v>
      </c>
      <c r="G44" s="139"/>
      <c r="H44" s="139"/>
      <c r="I44" s="139"/>
      <c r="J44" s="139"/>
      <c r="K44" s="139"/>
      <c r="L44" s="139"/>
    </row>
    <row r="45" spans="1:12" ht="15.75" customHeight="1">
      <c r="A45" s="139"/>
      <c r="B45" s="1524"/>
      <c r="C45" s="139"/>
      <c r="D45" s="1523" t="s">
        <v>2703</v>
      </c>
      <c r="E45" s="1272">
        <f>G34-F34</f>
        <v>265550176350</v>
      </c>
      <c r="F45" s="1540">
        <f>G34-E34</f>
        <v>369680054850</v>
      </c>
      <c r="G45" s="139"/>
      <c r="H45" s="139"/>
      <c r="I45" s="139"/>
      <c r="J45" s="139"/>
      <c r="K45" s="139"/>
      <c r="L45" s="139"/>
    </row>
    <row r="46" spans="1:12" ht="15.75" customHeight="1">
      <c r="A46" s="139"/>
      <c r="B46" s="1524"/>
      <c r="C46" s="139"/>
      <c r="D46" s="1523" t="s">
        <v>2688</v>
      </c>
      <c r="E46" s="1539">
        <f>E45*$D$15</f>
        <v>63732.042323999995</v>
      </c>
      <c r="F46" s="1538">
        <f>F45*$D$15</f>
        <v>88723.213163999986</v>
      </c>
      <c r="G46" s="139"/>
      <c r="H46" s="139"/>
      <c r="I46" s="139"/>
      <c r="J46" s="139"/>
      <c r="K46" s="139"/>
      <c r="L46" s="139"/>
    </row>
    <row r="47" spans="1:12" ht="15.75" customHeight="1">
      <c r="A47" s="139"/>
      <c r="B47" s="1524"/>
      <c r="C47" s="139"/>
      <c r="D47" s="139"/>
      <c r="E47" s="139"/>
      <c r="F47" s="1531"/>
      <c r="G47" s="139"/>
      <c r="H47" s="139"/>
      <c r="I47" s="139"/>
      <c r="J47" s="139"/>
      <c r="K47" s="139"/>
      <c r="L47" s="139"/>
    </row>
    <row r="48" spans="1:12" ht="15.75" customHeight="1">
      <c r="A48" s="139"/>
      <c r="B48" s="1528" t="s">
        <v>2702</v>
      </c>
      <c r="C48" s="1527"/>
      <c r="D48" s="1527"/>
      <c r="E48" s="1527"/>
      <c r="F48" s="1526"/>
      <c r="G48" s="139"/>
      <c r="H48" s="139"/>
      <c r="I48" s="139"/>
      <c r="J48" s="139"/>
      <c r="K48" s="139"/>
      <c r="L48" s="139"/>
    </row>
    <row r="49" spans="1:16" ht="15.75" customHeight="1">
      <c r="A49" s="139"/>
      <c r="B49" s="1524"/>
      <c r="C49" s="139"/>
      <c r="D49" s="1523" t="s">
        <v>1043</v>
      </c>
      <c r="E49" s="269" t="s">
        <v>1231</v>
      </c>
      <c r="F49" s="1525" t="s">
        <v>1230</v>
      </c>
      <c r="G49" s="139"/>
      <c r="H49" s="139"/>
      <c r="I49" s="139"/>
      <c r="J49" s="139"/>
      <c r="K49" s="139"/>
      <c r="L49" s="139"/>
    </row>
    <row r="50" spans="1:16" ht="15.75" customHeight="1">
      <c r="A50" s="139"/>
      <c r="B50" s="1524"/>
      <c r="C50" s="139"/>
      <c r="D50" s="269" t="s">
        <v>1231</v>
      </c>
      <c r="E50" s="1536" cm="1">
        <f t="array" ref="E50">SUMPRODUCT(E$25:E$30*$E$25:$E$30*$C$25:$C$30*$D$25:$D$30)</f>
        <v>107160721750</v>
      </c>
      <c r="F50" s="1537" cm="1">
        <f t="array" ref="F50">SUMPRODUCT(F$25:F$30*$E$25:$E$30*$C$25:$C$30*$D$25:$D$30)</f>
        <v>79194727300</v>
      </c>
      <c r="G50" s="139"/>
      <c r="H50" s="139"/>
      <c r="I50" s="139"/>
      <c r="J50" s="139"/>
      <c r="K50" s="139"/>
      <c r="L50" s="139"/>
    </row>
    <row r="51" spans="1:16" ht="15.75" customHeight="1">
      <c r="A51" s="139"/>
      <c r="B51" s="1524"/>
      <c r="C51" s="139"/>
      <c r="D51" s="269" t="s">
        <v>1230</v>
      </c>
      <c r="E51" s="1536" cm="1">
        <f t="array" ref="E51">SUMPRODUCT(E$25:E$30*$F$25:$F$30*$C$25:$C$30*$D$25:$D$30)</f>
        <v>79194727300</v>
      </c>
      <c r="F51" s="1535" cm="1">
        <f t="array" ref="F51">SUMPRODUCT(F$25:F$30*$F$25:$F$30*$C$25:$C$30*$D$25:$D$30)</f>
        <v>211290600250</v>
      </c>
      <c r="G51" s="139"/>
      <c r="H51" s="139"/>
      <c r="I51" s="139"/>
      <c r="J51" s="139"/>
      <c r="K51" s="139"/>
      <c r="L51" s="139"/>
    </row>
    <row r="52" spans="1:16" ht="15.75" customHeight="1">
      <c r="A52" s="139"/>
      <c r="B52" s="1524"/>
      <c r="C52" s="139"/>
      <c r="D52" s="457"/>
      <c r="E52" s="269" t="s">
        <v>1231</v>
      </c>
      <c r="F52" s="1534" t="s">
        <v>1230</v>
      </c>
      <c r="G52" s="139"/>
      <c r="H52" s="139"/>
      <c r="I52" s="139"/>
      <c r="J52" s="139"/>
      <c r="K52" s="139"/>
      <c r="L52" s="139"/>
    </row>
    <row r="53" spans="1:16" ht="15.75" customHeight="1">
      <c r="A53" s="139"/>
      <c r="B53" s="1524"/>
      <c r="C53" s="139"/>
      <c r="D53" s="1523" t="s">
        <v>2701</v>
      </c>
      <c r="E53" s="266">
        <f>SUM(E50:E51)</f>
        <v>186355449050</v>
      </c>
      <c r="F53" s="1533">
        <f>SUM(F50:F51)</f>
        <v>290485327550</v>
      </c>
      <c r="G53" s="139"/>
      <c r="H53" s="139"/>
      <c r="I53" s="139"/>
      <c r="J53" s="139"/>
      <c r="K53" s="139"/>
      <c r="L53" s="139"/>
    </row>
    <row r="54" spans="1:16" ht="15.75" customHeight="1">
      <c r="A54" s="139"/>
      <c r="B54" s="1524"/>
      <c r="C54" s="139"/>
      <c r="D54" s="457" t="s">
        <v>2688</v>
      </c>
      <c r="E54" s="1352">
        <f>E53*$D$15</f>
        <v>44725.307771999993</v>
      </c>
      <c r="F54" s="1532">
        <f>F53*$D$15</f>
        <v>69716.478611999992</v>
      </c>
      <c r="G54" s="139"/>
      <c r="H54" s="139" t="s">
        <v>2700</v>
      </c>
      <c r="I54" s="139"/>
      <c r="J54" s="139"/>
      <c r="K54" s="139"/>
      <c r="L54" s="139"/>
    </row>
    <row r="55" spans="1:16" ht="15.75" customHeight="1">
      <c r="A55" s="139"/>
      <c r="B55" s="1524"/>
      <c r="C55" s="139"/>
      <c r="D55" s="139"/>
      <c r="E55" s="139"/>
      <c r="F55" s="1531"/>
      <c r="G55" s="139"/>
      <c r="H55" s="1530" t="s">
        <v>2699</v>
      </c>
      <c r="I55" s="1529" t="s">
        <v>2698</v>
      </c>
      <c r="J55" s="1529" t="s">
        <v>2697</v>
      </c>
      <c r="K55" s="1529" t="s">
        <v>2696</v>
      </c>
      <c r="L55" s="1529" t="s">
        <v>2695</v>
      </c>
      <c r="M55" s="1529" t="s">
        <v>2694</v>
      </c>
      <c r="N55" s="1529" t="s">
        <v>2693</v>
      </c>
      <c r="O55" s="1529" t="s">
        <v>2692</v>
      </c>
      <c r="P55" s="1529" t="s">
        <v>2691</v>
      </c>
    </row>
    <row r="56" spans="1:16" ht="15.75" customHeight="1">
      <c r="A56" s="139"/>
      <c r="B56" s="1528" t="s">
        <v>2690</v>
      </c>
      <c r="C56" s="1527"/>
      <c r="D56" s="1527"/>
      <c r="E56" s="1527"/>
      <c r="F56" s="1526"/>
      <c r="G56" s="139"/>
      <c r="H56" s="1516">
        <v>1</v>
      </c>
      <c r="I56" s="1515">
        <f t="shared" ref="I56:K61" si="4">$C25*$D25*E25^2</f>
        <v>18042750000</v>
      </c>
      <c r="J56" s="1515">
        <f t="shared" si="4"/>
        <v>618750000</v>
      </c>
      <c r="K56" s="1515">
        <f t="shared" si="4"/>
        <v>25344000000.000004</v>
      </c>
      <c r="L56" s="1515">
        <f t="shared" ref="L56:L61" si="5">K56-I56-J56</f>
        <v>6682500000.0000038</v>
      </c>
      <c r="M56" s="1515">
        <f t="shared" ref="M56:N61" si="6">(E25/$G25)*$L56</f>
        <v>5638359375.0000029</v>
      </c>
      <c r="N56" s="1515">
        <f t="shared" si="6"/>
        <v>1044140625.0000006</v>
      </c>
      <c r="O56" s="1515">
        <f t="shared" ref="O56:P61" si="7">I56+M56</f>
        <v>23681109375.000004</v>
      </c>
      <c r="P56" s="1515">
        <f t="shared" si="7"/>
        <v>1662890625.0000005</v>
      </c>
    </row>
    <row r="57" spans="1:16" ht="15.75" customHeight="1">
      <c r="A57" s="139"/>
      <c r="B57" s="1524"/>
      <c r="C57" s="139"/>
      <c r="D57" s="1273"/>
      <c r="E57" s="269" t="s">
        <v>1231</v>
      </c>
      <c r="F57" s="1525" t="s">
        <v>1230</v>
      </c>
      <c r="G57" s="139"/>
      <c r="H57" s="1516">
        <v>2</v>
      </c>
      <c r="I57" s="1515">
        <f t="shared" si="4"/>
        <v>32987359375</v>
      </c>
      <c r="J57" s="1515">
        <f t="shared" si="4"/>
        <v>16029574375</v>
      </c>
      <c r="K57" s="1515">
        <f t="shared" si="4"/>
        <v>95007077500</v>
      </c>
      <c r="L57" s="1515">
        <f t="shared" si="5"/>
        <v>45990143750</v>
      </c>
      <c r="M57" s="1515">
        <f t="shared" si="6"/>
        <v>27099455413.329521</v>
      </c>
      <c r="N57" s="1515">
        <f t="shared" si="6"/>
        <v>18890688336.670483</v>
      </c>
      <c r="O57" s="1515">
        <f t="shared" si="7"/>
        <v>60086814788.329521</v>
      </c>
      <c r="P57" s="1515">
        <f t="shared" si="7"/>
        <v>34920262711.670486</v>
      </c>
    </row>
    <row r="58" spans="1:16" ht="15.75" customHeight="1">
      <c r="A58" s="139"/>
      <c r="B58" s="1524"/>
      <c r="C58" s="139"/>
      <c r="D58" s="1523" t="s">
        <v>2689</v>
      </c>
      <c r="E58" s="266">
        <f>SUM(O56:O61)</f>
        <v>172783414690.38013</v>
      </c>
      <c r="F58" s="1522">
        <f>SUM(P56:P61)</f>
        <v>304057361909.61987</v>
      </c>
      <c r="G58" s="139"/>
      <c r="H58" s="1516">
        <v>3</v>
      </c>
      <c r="I58" s="1515">
        <f t="shared" si="4"/>
        <v>41051534400</v>
      </c>
      <c r="J58" s="1515">
        <f t="shared" si="4"/>
        <v>898889999.99999988</v>
      </c>
      <c r="K58" s="1515">
        <f t="shared" si="4"/>
        <v>54099632399.999992</v>
      </c>
      <c r="L58" s="1515">
        <f t="shared" si="5"/>
        <v>12149207999.999992</v>
      </c>
      <c r="M58" s="1515">
        <f t="shared" si="6"/>
        <v>10583163549.525095</v>
      </c>
      <c r="N58" s="1515">
        <f t="shared" si="6"/>
        <v>1566044450.4748971</v>
      </c>
      <c r="O58" s="1515">
        <f t="shared" si="7"/>
        <v>51634697949.525093</v>
      </c>
      <c r="P58" s="1515">
        <f t="shared" si="7"/>
        <v>2464934450.4748969</v>
      </c>
    </row>
    <row r="59" spans="1:16" ht="15.75" customHeight="1" thickBot="1">
      <c r="A59" s="139"/>
      <c r="B59" s="1521"/>
      <c r="C59" s="1520"/>
      <c r="D59" s="1519" t="s">
        <v>2688</v>
      </c>
      <c r="E59" s="1518">
        <f>E58*$D$15</f>
        <v>41468.019525691227</v>
      </c>
      <c r="F59" s="1517">
        <f>F58*$D$15</f>
        <v>72973.766858308765</v>
      </c>
      <c r="G59" s="139"/>
      <c r="H59" s="1516">
        <v>4</v>
      </c>
      <c r="I59" s="1515">
        <f t="shared" si="4"/>
        <v>2991937500</v>
      </c>
      <c r="J59" s="1515">
        <f t="shared" si="4"/>
        <v>10674937500</v>
      </c>
      <c r="K59" s="1515">
        <f t="shared" si="4"/>
        <v>24969750000</v>
      </c>
      <c r="L59" s="1515">
        <f t="shared" si="5"/>
        <v>11302875000</v>
      </c>
      <c r="M59" s="1515">
        <f t="shared" si="6"/>
        <v>3912533653.8461537</v>
      </c>
      <c r="N59" s="1515">
        <f t="shared" si="6"/>
        <v>7390341346.1538458</v>
      </c>
      <c r="O59" s="1515">
        <f t="shared" si="7"/>
        <v>6904471153.8461533</v>
      </c>
      <c r="P59" s="1515">
        <f t="shared" si="7"/>
        <v>18065278846.153847</v>
      </c>
    </row>
    <row r="60" spans="1:16" ht="15.75" customHeight="1">
      <c r="A60" s="139"/>
      <c r="B60" s="139"/>
      <c r="C60" s="139"/>
      <c r="D60"/>
      <c r="E60" s="139"/>
      <c r="F60" s="139"/>
      <c r="G60" s="139"/>
      <c r="H60" s="1516">
        <v>5</v>
      </c>
      <c r="I60" s="1515">
        <f t="shared" si="4"/>
        <v>301927500</v>
      </c>
      <c r="J60" s="1515">
        <f t="shared" si="4"/>
        <v>69757329600</v>
      </c>
      <c r="K60" s="1515">
        <f t="shared" si="4"/>
        <v>79237853100</v>
      </c>
      <c r="L60" s="1515">
        <f t="shared" si="5"/>
        <v>9178596000</v>
      </c>
      <c r="M60" s="1515">
        <f t="shared" si="6"/>
        <v>566580000</v>
      </c>
      <c r="N60" s="1515">
        <f t="shared" si="6"/>
        <v>8612016000</v>
      </c>
      <c r="O60" s="1515">
        <f t="shared" si="7"/>
        <v>868507500</v>
      </c>
      <c r="P60" s="1515">
        <f t="shared" si="7"/>
        <v>78369345600</v>
      </c>
    </row>
    <row r="61" spans="1:16" ht="15.75" customHeight="1">
      <c r="A61" s="139"/>
      <c r="B61" s="139"/>
      <c r="C61" s="139"/>
      <c r="D61" s="139"/>
      <c r="E61" s="139"/>
      <c r="F61" s="139"/>
      <c r="G61" s="139"/>
      <c r="H61" s="1516">
        <v>6</v>
      </c>
      <c r="I61" s="1515">
        <f t="shared" si="4"/>
        <v>11785212975</v>
      </c>
      <c r="J61" s="1515">
        <f t="shared" si="4"/>
        <v>113311118775</v>
      </c>
      <c r="K61" s="1515">
        <f t="shared" si="4"/>
        <v>198182463600</v>
      </c>
      <c r="L61" s="1515">
        <f t="shared" si="5"/>
        <v>73086131850</v>
      </c>
      <c r="M61" s="1515">
        <f t="shared" si="6"/>
        <v>17822600948.679363</v>
      </c>
      <c r="N61" s="1515">
        <f t="shared" si="6"/>
        <v>55263530901.320633</v>
      </c>
      <c r="O61" s="1515">
        <f t="shared" si="7"/>
        <v>29607813923.679363</v>
      </c>
      <c r="P61" s="1515">
        <f t="shared" si="7"/>
        <v>168574649676.32062</v>
      </c>
    </row>
    <row r="62" spans="1:16" ht="15.75" customHeight="1">
      <c r="A62" s="139"/>
      <c r="B62" s="139"/>
      <c r="C62" s="139"/>
      <c r="D62" s="139"/>
      <c r="E62" s="139"/>
      <c r="F62" s="139"/>
      <c r="G62" s="139"/>
      <c r="H62" s="139"/>
      <c r="I62" s="139"/>
      <c r="J62" s="139"/>
      <c r="K62" s="139"/>
      <c r="L62" s="139"/>
    </row>
    <row r="63" spans="1:16" ht="15.75" customHeight="1">
      <c r="A63" s="3" t="s">
        <v>7</v>
      </c>
      <c r="B63" s="3" t="s">
        <v>2687</v>
      </c>
      <c r="C63" s="3"/>
      <c r="D63" s="3"/>
      <c r="E63" s="3"/>
      <c r="F63" s="3"/>
      <c r="G63" s="3"/>
      <c r="H63" s="3"/>
      <c r="I63" s="3"/>
      <c r="J63" s="3"/>
      <c r="K63" s="3"/>
      <c r="L63" s="2"/>
    </row>
    <row r="64" spans="1:16" ht="15.75" customHeight="1">
      <c r="A64" s="5"/>
      <c r="B64" s="5" t="s">
        <v>64</v>
      </c>
      <c r="C64" s="5"/>
      <c r="D64" s="4"/>
      <c r="E64" s="4"/>
      <c r="F64" s="4"/>
      <c r="G64" s="4"/>
      <c r="H64" s="3"/>
      <c r="I64" s="3"/>
      <c r="J64" s="2"/>
      <c r="K64" s="3"/>
      <c r="L64" s="2"/>
    </row>
    <row r="65" spans="1:12" ht="15.75" customHeight="1">
      <c r="A65" s="139"/>
      <c r="B65" s="139"/>
      <c r="C65" s="139"/>
      <c r="D65" s="139"/>
      <c r="E65" s="139"/>
      <c r="F65" s="139"/>
      <c r="G65" s="139"/>
      <c r="H65" s="139"/>
      <c r="I65" s="139"/>
      <c r="J65" s="139"/>
      <c r="K65" s="139"/>
      <c r="L65" s="139"/>
    </row>
    <row r="66" spans="1:12" ht="15.75" customHeight="1">
      <c r="A66" s="139" t="s">
        <v>2686</v>
      </c>
      <c r="B66" s="139"/>
      <c r="C66" s="139"/>
      <c r="D66" s="143">
        <f>G34*$D$15</f>
        <v>114441.78638399999</v>
      </c>
      <c r="E66" s="139"/>
      <c r="F66" s="139"/>
      <c r="G66" s="139"/>
      <c r="H66" s="139"/>
      <c r="I66" s="139"/>
      <c r="J66" s="139"/>
      <c r="K66" s="139"/>
      <c r="L66" s="139"/>
    </row>
    <row r="67" spans="1:12" ht="15.75" customHeight="1">
      <c r="A67" s="139"/>
      <c r="B67" s="139"/>
      <c r="C67" s="139"/>
      <c r="D67" s="139"/>
      <c r="E67" s="139"/>
      <c r="F67" s="139"/>
      <c r="G67" s="139"/>
      <c r="H67" s="139"/>
      <c r="I67" s="139"/>
      <c r="J67" s="139"/>
      <c r="K67" s="139"/>
      <c r="L67" s="139"/>
    </row>
    <row r="68" spans="1:12" ht="15.75" customHeight="1">
      <c r="A68" s="1514" t="s">
        <v>2685</v>
      </c>
      <c r="B68" s="139"/>
      <c r="C68" s="139"/>
      <c r="D68" s="143">
        <f>E46+F46</f>
        <v>152455.255488</v>
      </c>
      <c r="E68" s="139" t="s">
        <v>2684</v>
      </c>
      <c r="F68" s="139"/>
      <c r="G68" s="139"/>
      <c r="H68" s="139"/>
      <c r="I68" s="139"/>
      <c r="J68" s="139"/>
      <c r="K68" s="139"/>
      <c r="L68" s="139"/>
    </row>
    <row r="69" spans="1:12" ht="15.75" customHeight="1">
      <c r="A69" s="1514" t="s">
        <v>2683</v>
      </c>
      <c r="B69" s="139"/>
      <c r="C69" s="139"/>
      <c r="D69" s="143">
        <f>E54+F54</f>
        <v>114441.78638399998</v>
      </c>
      <c r="E69" s="139" t="s">
        <v>2681</v>
      </c>
      <c r="F69" s="139"/>
      <c r="G69" s="139"/>
      <c r="H69" s="139"/>
      <c r="I69" s="139"/>
      <c r="J69" s="139"/>
      <c r="K69" s="139"/>
      <c r="L69" s="139"/>
    </row>
    <row r="70" spans="1:12" ht="15.75" customHeight="1">
      <c r="A70" s="1514" t="s">
        <v>2682</v>
      </c>
      <c r="B70" s="139"/>
      <c r="C70" s="139"/>
      <c r="D70" s="143">
        <f>E59+F59</f>
        <v>114441.78638399999</v>
      </c>
      <c r="E70" s="139" t="s">
        <v>2681</v>
      </c>
      <c r="F70" s="139"/>
      <c r="G70" s="139"/>
      <c r="H70" s="139"/>
      <c r="I70" s="139"/>
      <c r="J70" s="139"/>
      <c r="K70" s="139"/>
      <c r="L70" s="139"/>
    </row>
    <row r="71" spans="1:12" ht="15.75" customHeight="1">
      <c r="A71" s="1514"/>
      <c r="B71" s="139"/>
      <c r="C71" s="139"/>
      <c r="D71" s="143"/>
      <c r="E71" s="139"/>
      <c r="F71" s="139"/>
      <c r="G71" s="139"/>
      <c r="H71" s="139"/>
      <c r="I71" s="139"/>
      <c r="J71" s="139"/>
      <c r="K71" s="139"/>
      <c r="L71" s="139"/>
    </row>
    <row r="72" spans="1:12" ht="15.75" customHeight="1">
      <c r="A72" s="139" t="s">
        <v>2680</v>
      </c>
      <c r="B72" s="139"/>
      <c r="C72" s="139"/>
      <c r="D72" s="139"/>
      <c r="E72" s="139"/>
      <c r="F72" s="139"/>
      <c r="G72" s="139"/>
      <c r="H72" s="139"/>
      <c r="I72" s="139"/>
      <c r="J72" s="139"/>
      <c r="K72" s="139"/>
      <c r="L72" s="139"/>
    </row>
    <row r="73" spans="1:12" ht="15.75" customHeight="1">
      <c r="A73" s="1514" t="s">
        <v>2679</v>
      </c>
      <c r="B73" s="139"/>
      <c r="C73" s="139"/>
      <c r="D73" s="139"/>
      <c r="E73" s="139"/>
      <c r="F73" s="139"/>
      <c r="G73" s="139"/>
      <c r="H73" s="139"/>
      <c r="I73" s="139"/>
      <c r="J73" s="139"/>
      <c r="K73" s="139"/>
      <c r="L73" s="139"/>
    </row>
    <row r="74" spans="1:12" ht="15.75" customHeight="1">
      <c r="A74" s="1514" t="s">
        <v>2678</v>
      </c>
      <c r="B74" s="139"/>
      <c r="C74" s="139"/>
      <c r="D74" s="139"/>
      <c r="E74" s="139"/>
      <c r="F74" s="139"/>
      <c r="G74" s="139"/>
      <c r="H74" s="139"/>
      <c r="I74" s="139"/>
      <c r="J74" s="139"/>
      <c r="K74" s="139"/>
      <c r="L74" s="139"/>
    </row>
    <row r="75" spans="1:12">
      <c r="A75" s="139"/>
      <c r="B75" s="139"/>
      <c r="C75" s="139"/>
      <c r="D75" s="139"/>
      <c r="E75" s="139"/>
      <c r="F75" s="139"/>
      <c r="G75" s="139"/>
      <c r="H75" s="139"/>
      <c r="I75" s="139"/>
      <c r="J75" s="139"/>
      <c r="K75" s="139"/>
      <c r="L75" s="139"/>
    </row>
    <row r="76" spans="1:12">
      <c r="A76" s="139"/>
      <c r="B76" s="139"/>
      <c r="C76" s="139"/>
      <c r="D76" s="139"/>
      <c r="E76" s="139"/>
      <c r="F76" s="139"/>
      <c r="G76" s="139"/>
      <c r="H76" s="139"/>
      <c r="I76" s="139"/>
      <c r="J76" s="139"/>
      <c r="K76" s="139"/>
      <c r="L76" s="139"/>
    </row>
    <row r="77" spans="1:12">
      <c r="A77" s="139"/>
      <c r="B77" s="139"/>
      <c r="C77" s="139"/>
      <c r="D77" s="139"/>
      <c r="E77" s="139"/>
      <c r="F77" s="139"/>
      <c r="G77" s="139"/>
      <c r="H77" s="139"/>
      <c r="I77" s="139"/>
      <c r="J77" s="139"/>
      <c r="K77" s="139"/>
      <c r="L77" s="139"/>
    </row>
    <row r="78" spans="1:12">
      <c r="A78" s="139"/>
      <c r="B78" s="139"/>
      <c r="C78" s="139"/>
      <c r="D78" s="139"/>
      <c r="E78" s="139"/>
      <c r="F78" s="139"/>
      <c r="G78" s="139"/>
      <c r="H78" s="139"/>
      <c r="I78" s="139"/>
      <c r="J78" s="139"/>
      <c r="K78" s="139"/>
      <c r="L78" s="139"/>
    </row>
    <row r="79" spans="1:12">
      <c r="A79" s="139"/>
      <c r="B79" s="139"/>
      <c r="C79" s="139"/>
      <c r="D79" s="139"/>
      <c r="E79" s="139"/>
      <c r="F79" s="139"/>
      <c r="G79" s="139"/>
      <c r="H79" s="139"/>
      <c r="I79" s="139"/>
      <c r="J79" s="139"/>
      <c r="K79" s="139"/>
      <c r="L79" s="139"/>
    </row>
    <row r="80" spans="1:12">
      <c r="A80" s="139"/>
      <c r="B80" s="139"/>
      <c r="C80" s="139"/>
      <c r="D80" s="139"/>
      <c r="E80" s="139"/>
      <c r="F80" s="139"/>
      <c r="G80" s="139"/>
      <c r="H80" s="139"/>
      <c r="I80" s="139"/>
      <c r="J80" s="139"/>
      <c r="K80" s="139"/>
      <c r="L80" s="139"/>
    </row>
    <row r="81" spans="1:12">
      <c r="A81" s="139"/>
      <c r="B81" s="139"/>
      <c r="C81" s="139"/>
      <c r="D81" s="139"/>
      <c r="E81" s="139"/>
      <c r="F81" s="139"/>
      <c r="G81" s="139"/>
      <c r="H81" s="139"/>
      <c r="I81" s="139"/>
      <c r="J81" s="139"/>
      <c r="K81" s="139"/>
      <c r="L81" s="139"/>
    </row>
    <row r="82" spans="1:12">
      <c r="A82" s="139"/>
      <c r="B82" s="139"/>
      <c r="C82" s="139"/>
      <c r="D82" s="139"/>
      <c r="E82" s="139"/>
      <c r="F82" s="139"/>
      <c r="G82" s="139"/>
      <c r="H82" s="139"/>
      <c r="I82" s="139"/>
      <c r="J82" s="139"/>
      <c r="K82" s="139"/>
      <c r="L82" s="139"/>
    </row>
    <row r="83" spans="1:12">
      <c r="A83" s="139"/>
      <c r="B83" s="139"/>
      <c r="C83" s="139"/>
      <c r="D83" s="139"/>
      <c r="E83" s="139"/>
      <c r="F83" s="139"/>
      <c r="G83" s="139"/>
      <c r="H83" s="139"/>
      <c r="I83" s="139"/>
      <c r="J83" s="139"/>
      <c r="K83" s="139"/>
      <c r="L83" s="139"/>
    </row>
    <row r="84" spans="1:12">
      <c r="A84" s="139"/>
      <c r="B84" s="139"/>
      <c r="C84" s="139"/>
      <c r="D84" s="139"/>
      <c r="E84" s="139"/>
      <c r="F84" s="139"/>
      <c r="G84" s="139"/>
      <c r="H84" s="139"/>
      <c r="I84" s="139"/>
      <c r="J84" s="139"/>
      <c r="K84" s="139"/>
      <c r="L84" s="139"/>
    </row>
    <row r="85" spans="1:12">
      <c r="A85" s="139"/>
      <c r="B85" s="139"/>
      <c r="C85" s="139"/>
      <c r="D85" s="139"/>
      <c r="E85" s="139"/>
      <c r="F85" s="139"/>
      <c r="G85" s="139"/>
      <c r="H85" s="139"/>
      <c r="I85" s="139"/>
      <c r="J85" s="139"/>
      <c r="K85" s="139"/>
      <c r="L85" s="139"/>
    </row>
    <row r="86" spans="1:12">
      <c r="A86" s="139"/>
      <c r="B86" s="139"/>
      <c r="C86" s="139"/>
      <c r="D86" s="139"/>
      <c r="E86" s="139"/>
      <c r="F86" s="139"/>
      <c r="G86" s="139"/>
      <c r="H86" s="139"/>
      <c r="I86" s="139"/>
      <c r="J86" s="139"/>
      <c r="K86" s="139"/>
      <c r="L86" s="139"/>
    </row>
    <row r="87" spans="1:12">
      <c r="A87" s="139"/>
      <c r="B87" s="139"/>
      <c r="C87" s="139"/>
      <c r="D87" s="139"/>
      <c r="E87" s="139"/>
      <c r="F87" s="139"/>
      <c r="G87" s="139"/>
      <c r="H87" s="139"/>
      <c r="I87" s="139"/>
      <c r="J87" s="139"/>
      <c r="K87" s="139"/>
      <c r="L87" s="139"/>
    </row>
    <row r="88" spans="1:12">
      <c r="A88" s="139"/>
      <c r="B88" s="139"/>
      <c r="C88" s="139"/>
      <c r="D88" s="139"/>
      <c r="E88" s="139"/>
      <c r="F88" s="139"/>
      <c r="G88" s="139"/>
      <c r="H88" s="139"/>
      <c r="I88" s="139"/>
      <c r="J88" s="139"/>
      <c r="K88" s="139"/>
      <c r="L88" s="139"/>
    </row>
    <row r="89" spans="1:12">
      <c r="A89" s="139"/>
      <c r="B89" s="139"/>
      <c r="C89" s="139"/>
      <c r="D89" s="139"/>
      <c r="E89" s="139"/>
      <c r="F89" s="139"/>
      <c r="G89" s="139"/>
      <c r="H89" s="139"/>
      <c r="I89" s="139"/>
      <c r="J89" s="139"/>
      <c r="K89" s="139"/>
      <c r="L89" s="139"/>
    </row>
    <row r="90" spans="1:12">
      <c r="A90" s="139"/>
      <c r="B90" s="139"/>
      <c r="C90" s="139"/>
      <c r="D90" s="139"/>
      <c r="E90" s="139"/>
      <c r="F90" s="139"/>
      <c r="G90" s="139"/>
      <c r="H90" s="139"/>
      <c r="I90" s="139"/>
      <c r="J90" s="139"/>
      <c r="K90" s="139"/>
      <c r="L90" s="139"/>
    </row>
    <row r="91" spans="1:12">
      <c r="A91" s="139"/>
      <c r="B91" s="139"/>
      <c r="C91" s="139"/>
      <c r="D91" s="139"/>
      <c r="E91" s="139"/>
      <c r="F91" s="139"/>
      <c r="G91" s="139"/>
      <c r="H91" s="139"/>
      <c r="I91" s="139"/>
      <c r="J91" s="139"/>
      <c r="K91" s="139"/>
      <c r="L91" s="139"/>
    </row>
    <row r="92" spans="1:12">
      <c r="A92" s="139"/>
      <c r="B92" s="139"/>
      <c r="C92" s="139"/>
      <c r="D92" s="139"/>
      <c r="E92" s="139"/>
      <c r="F92" s="139"/>
      <c r="G92" s="139"/>
      <c r="H92" s="139"/>
      <c r="I92" s="139"/>
      <c r="J92" s="139"/>
      <c r="K92" s="139"/>
      <c r="L92" s="139"/>
    </row>
    <row r="93" spans="1:12">
      <c r="A93" s="139"/>
      <c r="B93" s="139"/>
      <c r="C93" s="139"/>
      <c r="D93" s="139"/>
      <c r="E93" s="139"/>
      <c r="F93" s="139"/>
      <c r="G93" s="139"/>
      <c r="H93" s="139"/>
      <c r="I93" s="139"/>
      <c r="J93" s="139"/>
      <c r="K93" s="139"/>
      <c r="L93" s="139"/>
    </row>
    <row r="94" spans="1:12">
      <c r="A94" s="139"/>
      <c r="B94" s="139"/>
      <c r="C94" s="139"/>
      <c r="D94" s="139"/>
      <c r="E94" s="139"/>
      <c r="F94" s="139"/>
      <c r="G94" s="139"/>
      <c r="H94" s="139"/>
      <c r="I94" s="139"/>
      <c r="J94" s="139"/>
      <c r="K94" s="139"/>
      <c r="L94" s="139"/>
    </row>
    <row r="95" spans="1:12">
      <c r="A95" s="139"/>
      <c r="B95" s="139"/>
      <c r="C95" s="139"/>
      <c r="D95" s="139"/>
      <c r="E95" s="139"/>
      <c r="F95" s="139"/>
      <c r="G95" s="139"/>
      <c r="H95" s="139"/>
      <c r="I95" s="139"/>
      <c r="J95" s="139"/>
      <c r="K95" s="139"/>
      <c r="L95" s="139"/>
    </row>
    <row r="96" spans="1:12">
      <c r="A96" s="139"/>
      <c r="B96" s="139"/>
      <c r="C96" s="139"/>
      <c r="D96" s="139"/>
      <c r="E96" s="139"/>
      <c r="F96" s="139"/>
      <c r="G96" s="139"/>
      <c r="H96" s="139"/>
      <c r="I96" s="139"/>
      <c r="J96" s="139"/>
      <c r="K96" s="139"/>
      <c r="L96" s="139"/>
    </row>
    <row r="97" spans="1:12">
      <c r="A97" s="139"/>
      <c r="B97" s="139"/>
      <c r="C97" s="139"/>
      <c r="D97" s="139"/>
      <c r="E97" s="139"/>
      <c r="F97" s="139"/>
      <c r="G97" s="139"/>
      <c r="H97" s="139"/>
      <c r="I97" s="139"/>
      <c r="J97" s="139"/>
      <c r="K97" s="139"/>
      <c r="L97" s="139"/>
    </row>
    <row r="98" spans="1:12">
      <c r="A98" s="139"/>
      <c r="B98" s="139"/>
      <c r="C98" s="139"/>
      <c r="D98" s="139"/>
      <c r="E98" s="139"/>
      <c r="F98" s="139"/>
      <c r="G98" s="139"/>
      <c r="H98" s="139"/>
      <c r="I98" s="139"/>
      <c r="J98" s="139"/>
      <c r="K98" s="139"/>
      <c r="L98" s="139"/>
    </row>
    <row r="99" spans="1:12">
      <c r="A99" s="139"/>
      <c r="B99" s="139"/>
      <c r="C99" s="139"/>
      <c r="D99" s="139"/>
      <c r="E99" s="139"/>
      <c r="F99" s="139"/>
      <c r="G99" s="139"/>
      <c r="H99" s="139"/>
      <c r="I99" s="139"/>
      <c r="J99" s="139"/>
      <c r="K99" s="139"/>
      <c r="L99" s="139"/>
    </row>
    <row r="100" spans="1:12">
      <c r="A100" s="139"/>
      <c r="B100" s="139"/>
      <c r="C100" s="139"/>
      <c r="D100" s="139"/>
      <c r="E100" s="139"/>
      <c r="F100" s="139"/>
      <c r="G100" s="139"/>
      <c r="H100" s="139"/>
      <c r="I100" s="139"/>
      <c r="J100" s="139"/>
      <c r="K100" s="139"/>
      <c r="L100" s="139"/>
    </row>
    <row r="101" spans="1:12">
      <c r="A101" s="139"/>
      <c r="B101" s="139"/>
      <c r="C101" s="139"/>
      <c r="D101" s="139"/>
      <c r="E101" s="139"/>
      <c r="F101" s="139"/>
      <c r="G101" s="139"/>
      <c r="H101" s="139"/>
      <c r="I101" s="139"/>
      <c r="J101" s="139"/>
      <c r="K101" s="139"/>
      <c r="L101" s="139"/>
    </row>
    <row r="102" spans="1:12">
      <c r="A102" s="139"/>
      <c r="B102" s="139"/>
      <c r="C102" s="139"/>
      <c r="D102" s="139"/>
      <c r="E102" s="139"/>
      <c r="F102" s="139"/>
      <c r="G102" s="139"/>
      <c r="H102" s="139"/>
      <c r="I102" s="139"/>
      <c r="J102" s="139"/>
      <c r="K102" s="139"/>
      <c r="L102" s="139"/>
    </row>
    <row r="103" spans="1:12">
      <c r="A103" s="139"/>
      <c r="B103" s="139"/>
      <c r="C103" s="139"/>
      <c r="D103" s="139"/>
      <c r="E103" s="139"/>
      <c r="F103" s="139"/>
      <c r="G103" s="139"/>
      <c r="H103" s="139"/>
      <c r="I103" s="139"/>
      <c r="J103" s="139"/>
      <c r="K103" s="139"/>
      <c r="L103" s="139"/>
    </row>
    <row r="104" spans="1:12">
      <c r="A104" s="139"/>
      <c r="B104" s="139"/>
      <c r="C104" s="139"/>
      <c r="D104" s="139"/>
      <c r="E104" s="139"/>
      <c r="F104" s="139"/>
      <c r="G104" s="139"/>
      <c r="H104" s="139"/>
      <c r="I104" s="139"/>
      <c r="J104" s="139"/>
      <c r="K104" s="139"/>
      <c r="L104" s="139"/>
    </row>
    <row r="105" spans="1:12">
      <c r="A105" s="139"/>
      <c r="B105" s="139"/>
      <c r="C105" s="139"/>
      <c r="D105" s="139"/>
      <c r="E105" s="139"/>
      <c r="F105" s="139"/>
      <c r="G105" s="139"/>
      <c r="H105" s="139"/>
      <c r="I105" s="139"/>
      <c r="J105" s="139"/>
      <c r="K105" s="139"/>
      <c r="L105" s="139"/>
    </row>
    <row r="106" spans="1:12">
      <c r="A106" s="139"/>
      <c r="B106" s="139"/>
      <c r="C106" s="139"/>
      <c r="D106" s="139"/>
      <c r="E106" s="139"/>
      <c r="F106" s="139"/>
      <c r="G106" s="139"/>
      <c r="H106" s="139"/>
      <c r="I106" s="139"/>
      <c r="J106" s="139"/>
      <c r="K106" s="139"/>
      <c r="L106" s="139"/>
    </row>
    <row r="107" spans="1:12">
      <c r="A107" s="139"/>
      <c r="B107" s="139"/>
      <c r="C107" s="139"/>
      <c r="D107" s="139"/>
      <c r="E107" s="139"/>
      <c r="F107" s="139"/>
      <c r="G107" s="139"/>
      <c r="H107" s="139"/>
      <c r="I107" s="139"/>
      <c r="J107" s="139"/>
      <c r="K107" s="139"/>
      <c r="L107" s="139"/>
    </row>
    <row r="108" spans="1:12">
      <c r="A108" s="139"/>
      <c r="B108" s="139"/>
      <c r="C108" s="139"/>
      <c r="D108" s="139"/>
      <c r="E108" s="139"/>
      <c r="F108" s="139"/>
      <c r="G108" s="139"/>
      <c r="H108" s="139"/>
      <c r="I108" s="139"/>
      <c r="J108" s="139"/>
      <c r="K108" s="139"/>
      <c r="L108" s="139"/>
    </row>
    <row r="109" spans="1:12">
      <c r="A109" s="139"/>
      <c r="B109" s="139"/>
      <c r="C109" s="139"/>
      <c r="D109" s="139"/>
      <c r="E109" s="139"/>
      <c r="F109" s="139"/>
      <c r="G109" s="139"/>
      <c r="H109" s="139"/>
      <c r="I109" s="139"/>
      <c r="J109" s="139"/>
      <c r="K109" s="139"/>
      <c r="L109" s="139"/>
    </row>
    <row r="110" spans="1:12">
      <c r="A110" s="139"/>
      <c r="B110" s="139"/>
      <c r="C110" s="139"/>
      <c r="D110" s="139"/>
      <c r="E110" s="139"/>
      <c r="F110" s="139"/>
      <c r="G110" s="139"/>
      <c r="H110" s="139"/>
      <c r="I110" s="139"/>
      <c r="J110" s="139"/>
      <c r="K110" s="139"/>
      <c r="L110" s="139"/>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c r="B148"/>
      <c r="C148"/>
      <c r="D148"/>
      <c r="E148"/>
      <c r="F148"/>
      <c r="G148"/>
      <c r="H148"/>
      <c r="I148"/>
      <c r="J148"/>
      <c r="K148"/>
      <c r="L148"/>
    </row>
    <row r="149" spans="1:12">
      <c r="A149"/>
      <c r="B149"/>
      <c r="C149"/>
      <c r="D149"/>
      <c r="E149"/>
      <c r="F149"/>
      <c r="G149"/>
      <c r="H149"/>
      <c r="I149"/>
      <c r="J149"/>
      <c r="K149"/>
      <c r="L149"/>
    </row>
    <row r="150" spans="1:12">
      <c r="A150"/>
      <c r="B150"/>
      <c r="C150"/>
      <c r="D150"/>
      <c r="E150"/>
      <c r="F150"/>
      <c r="G150"/>
      <c r="H150"/>
      <c r="I150"/>
      <c r="J150"/>
      <c r="K150"/>
      <c r="L150"/>
    </row>
    <row r="151" spans="1:12">
      <c r="A151"/>
      <c r="B151"/>
      <c r="C151"/>
      <c r="D151"/>
      <c r="E151"/>
      <c r="F151"/>
      <c r="G151"/>
      <c r="H151"/>
      <c r="I151"/>
      <c r="J151"/>
      <c r="K151"/>
      <c r="L151"/>
    </row>
    <row r="152" spans="1:12">
      <c r="A152"/>
      <c r="B152"/>
      <c r="C152"/>
      <c r="D152"/>
      <c r="E152"/>
      <c r="F152"/>
      <c r="G152"/>
      <c r="H152"/>
      <c r="I152"/>
      <c r="J152"/>
      <c r="K152"/>
      <c r="L152"/>
    </row>
    <row r="153" spans="1:12">
      <c r="A153"/>
      <c r="B153"/>
      <c r="C153"/>
      <c r="D153"/>
      <c r="E153"/>
      <c r="F153"/>
      <c r="G153"/>
      <c r="H153"/>
      <c r="I153"/>
      <c r="J153"/>
      <c r="K153"/>
      <c r="L153"/>
    </row>
    <row r="154" spans="1:12">
      <c r="A154"/>
      <c r="B154"/>
      <c r="C154"/>
      <c r="D154"/>
      <c r="E154"/>
      <c r="F154"/>
      <c r="G154"/>
      <c r="H154"/>
      <c r="I154"/>
      <c r="J154"/>
      <c r="K154"/>
      <c r="L154"/>
    </row>
    <row r="155" spans="1:12">
      <c r="A155"/>
      <c r="B155"/>
      <c r="C155"/>
      <c r="D155"/>
      <c r="E155"/>
      <c r="F155"/>
      <c r="G155"/>
      <c r="H155"/>
      <c r="I155"/>
      <c r="J155"/>
      <c r="K155"/>
      <c r="L155"/>
    </row>
    <row r="156" spans="1:12">
      <c r="A156"/>
      <c r="B156"/>
      <c r="C156"/>
      <c r="D156"/>
      <c r="E156"/>
      <c r="F156"/>
      <c r="G156"/>
      <c r="H156"/>
      <c r="I156"/>
      <c r="J156"/>
      <c r="K156"/>
      <c r="L156"/>
    </row>
    <row r="157" spans="1:12">
      <c r="A157"/>
      <c r="B157"/>
      <c r="C157"/>
      <c r="D157"/>
      <c r="E157"/>
      <c r="F157"/>
      <c r="G157"/>
      <c r="H157"/>
      <c r="I157"/>
      <c r="J157"/>
      <c r="K157"/>
      <c r="L157"/>
    </row>
    <row r="158" spans="1:12">
      <c r="A158"/>
      <c r="B158"/>
      <c r="C158"/>
      <c r="D158"/>
      <c r="E158"/>
      <c r="F158"/>
      <c r="G158"/>
      <c r="H158"/>
      <c r="I158"/>
      <c r="J158"/>
      <c r="K158"/>
      <c r="L158"/>
    </row>
    <row r="159" spans="1:12">
      <c r="A159"/>
      <c r="B159"/>
      <c r="C159"/>
      <c r="D159"/>
      <c r="E159"/>
      <c r="F159"/>
      <c r="G159"/>
      <c r="H159"/>
      <c r="I159"/>
      <c r="J159"/>
      <c r="K159"/>
      <c r="L159"/>
    </row>
    <row r="160" spans="1:12">
      <c r="A160"/>
      <c r="B160"/>
      <c r="C160"/>
      <c r="D160"/>
      <c r="E160"/>
      <c r="F160"/>
      <c r="G160"/>
      <c r="H160"/>
      <c r="I160"/>
      <c r="J160"/>
      <c r="K160"/>
      <c r="L160"/>
    </row>
    <row r="161" spans="1:12">
      <c r="A161"/>
      <c r="B161"/>
      <c r="C161"/>
      <c r="D161"/>
      <c r="E161"/>
      <c r="F161"/>
      <c r="G161"/>
      <c r="H161"/>
      <c r="I161"/>
      <c r="J161"/>
      <c r="K161"/>
      <c r="L161"/>
    </row>
    <row r="162" spans="1:12">
      <c r="A162"/>
      <c r="B162"/>
      <c r="C162"/>
      <c r="D162"/>
      <c r="E162"/>
      <c r="F162"/>
      <c r="G162"/>
      <c r="H162"/>
      <c r="I162"/>
      <c r="J162"/>
      <c r="K162"/>
      <c r="L162"/>
    </row>
    <row r="163" spans="1:12">
      <c r="A163"/>
      <c r="B163"/>
      <c r="C163"/>
      <c r="D163"/>
      <c r="E163"/>
      <c r="F163"/>
      <c r="G163"/>
      <c r="H163"/>
      <c r="I163"/>
      <c r="J163"/>
      <c r="K163"/>
      <c r="L163"/>
    </row>
    <row r="164" spans="1:12">
      <c r="A164"/>
      <c r="B164"/>
      <c r="C164"/>
      <c r="D164"/>
      <c r="E164"/>
      <c r="F164"/>
      <c r="G164"/>
      <c r="H164"/>
      <c r="I164"/>
      <c r="J164"/>
      <c r="K164"/>
      <c r="L164"/>
    </row>
    <row r="165" spans="1:12">
      <c r="A165"/>
      <c r="B165"/>
      <c r="C165"/>
      <c r="D165"/>
      <c r="E165"/>
      <c r="F165"/>
      <c r="G165"/>
      <c r="H165"/>
      <c r="I165"/>
      <c r="J165"/>
      <c r="K165"/>
      <c r="L165"/>
    </row>
    <row r="166" spans="1:12">
      <c r="A166"/>
      <c r="B166"/>
      <c r="C166"/>
      <c r="D166"/>
      <c r="E166"/>
      <c r="F166"/>
      <c r="G166"/>
      <c r="H166"/>
      <c r="I166"/>
      <c r="J166"/>
      <c r="K166"/>
      <c r="L166"/>
    </row>
    <row r="167" spans="1:12">
      <c r="A167"/>
      <c r="B167"/>
      <c r="C167"/>
      <c r="D167"/>
      <c r="E167"/>
      <c r="F167"/>
      <c r="G167"/>
      <c r="H167"/>
      <c r="I167"/>
      <c r="J167"/>
      <c r="K167"/>
      <c r="L167"/>
    </row>
    <row r="168" spans="1:12">
      <c r="A168"/>
      <c r="B168"/>
      <c r="C168"/>
      <c r="D168"/>
      <c r="E168"/>
      <c r="F168"/>
      <c r="G168"/>
      <c r="H168"/>
      <c r="I168"/>
      <c r="J168"/>
      <c r="K168"/>
      <c r="L168"/>
    </row>
    <row r="169" spans="1:12">
      <c r="A169"/>
      <c r="B169"/>
      <c r="C169"/>
      <c r="D169"/>
      <c r="E169"/>
      <c r="F169"/>
      <c r="G169"/>
      <c r="H169"/>
      <c r="I169"/>
      <c r="J169"/>
      <c r="K169"/>
      <c r="L169"/>
    </row>
    <row r="170" spans="1:12">
      <c r="A170"/>
      <c r="B170"/>
      <c r="C170"/>
      <c r="D170"/>
      <c r="E170"/>
      <c r="F170"/>
      <c r="G170"/>
      <c r="H170"/>
      <c r="I170"/>
      <c r="J170"/>
      <c r="K170"/>
      <c r="L170"/>
    </row>
    <row r="171" spans="1:12">
      <c r="A171"/>
      <c r="B171"/>
      <c r="C171"/>
      <c r="D171"/>
      <c r="E171"/>
      <c r="F171"/>
      <c r="G171"/>
      <c r="H171"/>
      <c r="I171"/>
      <c r="J171"/>
      <c r="K171"/>
      <c r="L171"/>
    </row>
    <row r="172" spans="1:12">
      <c r="A172"/>
      <c r="B172"/>
      <c r="C172"/>
      <c r="D172"/>
      <c r="E172"/>
      <c r="F172"/>
      <c r="G172"/>
      <c r="H172"/>
      <c r="I172"/>
      <c r="J172"/>
      <c r="K172"/>
      <c r="L172"/>
    </row>
    <row r="173" spans="1:12">
      <c r="A173"/>
      <c r="B173"/>
      <c r="C173"/>
      <c r="D173"/>
      <c r="E173"/>
      <c r="F173"/>
      <c r="G173"/>
      <c r="H173"/>
      <c r="I173"/>
      <c r="J173"/>
      <c r="K173"/>
      <c r="L173"/>
    </row>
    <row r="174" spans="1:12">
      <c r="A174"/>
      <c r="B174"/>
      <c r="C174"/>
      <c r="D174"/>
      <c r="E174"/>
      <c r="F174"/>
      <c r="G174"/>
      <c r="H174"/>
      <c r="I174"/>
      <c r="J174"/>
      <c r="K174"/>
      <c r="L174"/>
    </row>
    <row r="175" spans="1:12">
      <c r="A175"/>
      <c r="B175"/>
      <c r="C175"/>
      <c r="D175"/>
      <c r="E175"/>
      <c r="F175"/>
      <c r="G175"/>
      <c r="H175"/>
      <c r="I175"/>
      <c r="J175"/>
      <c r="K175"/>
      <c r="L175"/>
    </row>
    <row r="176" spans="1:12">
      <c r="A176"/>
      <c r="B176"/>
      <c r="C176"/>
      <c r="D176"/>
      <c r="E176"/>
      <c r="F176"/>
      <c r="G176"/>
      <c r="H176"/>
      <c r="I176"/>
      <c r="J176"/>
      <c r="K176"/>
      <c r="L176"/>
    </row>
    <row r="177" spans="1:12">
      <c r="A177"/>
      <c r="B177"/>
      <c r="C177"/>
      <c r="D177"/>
      <c r="E177"/>
      <c r="F177"/>
      <c r="G177"/>
      <c r="H177"/>
      <c r="I177"/>
      <c r="J177"/>
      <c r="K177"/>
      <c r="L177"/>
    </row>
    <row r="178" spans="1:12">
      <c r="A178"/>
      <c r="B178"/>
      <c r="C178"/>
      <c r="D178"/>
      <c r="E178"/>
      <c r="F178"/>
      <c r="G178"/>
      <c r="H178"/>
      <c r="I178"/>
      <c r="J178"/>
      <c r="K178"/>
      <c r="L178"/>
    </row>
    <row r="179" spans="1:12">
      <c r="A179"/>
      <c r="B179"/>
      <c r="C179"/>
      <c r="D179"/>
      <c r="E179"/>
      <c r="F179"/>
      <c r="G179"/>
      <c r="H179"/>
      <c r="I179"/>
      <c r="J179"/>
      <c r="K179"/>
      <c r="L179"/>
    </row>
    <row r="180" spans="1:12">
      <c r="A180"/>
      <c r="B180"/>
      <c r="C180"/>
      <c r="D180"/>
      <c r="E180"/>
      <c r="F180"/>
      <c r="G180"/>
      <c r="H180"/>
      <c r="I180"/>
      <c r="J180"/>
      <c r="K180"/>
      <c r="L180"/>
    </row>
    <row r="181" spans="1:12">
      <c r="A181"/>
      <c r="B181"/>
      <c r="C181"/>
      <c r="D181"/>
      <c r="E181"/>
      <c r="F181"/>
      <c r="G181"/>
      <c r="H181"/>
      <c r="I181"/>
      <c r="J181"/>
      <c r="K181"/>
      <c r="L181"/>
    </row>
    <row r="182" spans="1:12">
      <c r="A182"/>
      <c r="B182"/>
      <c r="C182"/>
      <c r="D182"/>
      <c r="E182"/>
      <c r="F182"/>
      <c r="G182"/>
      <c r="H182"/>
      <c r="I182"/>
      <c r="J182"/>
      <c r="K182"/>
      <c r="L182"/>
    </row>
    <row r="183" spans="1:12">
      <c r="A183"/>
      <c r="B183"/>
      <c r="C183"/>
      <c r="D183"/>
      <c r="E183"/>
      <c r="F183"/>
      <c r="G183"/>
      <c r="H183"/>
      <c r="I183"/>
      <c r="J183"/>
      <c r="K183"/>
      <c r="L183"/>
    </row>
    <row r="184" spans="1:12">
      <c r="A184"/>
      <c r="B184"/>
      <c r="C184"/>
      <c r="D184"/>
      <c r="E184"/>
      <c r="F184"/>
      <c r="G184"/>
      <c r="H184"/>
      <c r="I184"/>
      <c r="J184"/>
      <c r="K184"/>
      <c r="L184"/>
    </row>
    <row r="185" spans="1:12">
      <c r="A185"/>
      <c r="B185"/>
      <c r="C185"/>
      <c r="D185"/>
      <c r="E185"/>
      <c r="F185"/>
      <c r="G185"/>
      <c r="H185"/>
      <c r="I185"/>
      <c r="J185"/>
      <c r="K185"/>
      <c r="L185"/>
    </row>
    <row r="186" spans="1:12">
      <c r="A186"/>
      <c r="B186"/>
      <c r="C186"/>
      <c r="D186"/>
      <c r="E186"/>
      <c r="F186"/>
      <c r="G186"/>
      <c r="H186"/>
      <c r="I186"/>
      <c r="J186"/>
      <c r="K186"/>
      <c r="L186"/>
    </row>
    <row r="187" spans="1:12">
      <c r="A187"/>
      <c r="B187"/>
      <c r="C187"/>
      <c r="D187"/>
      <c r="E187"/>
      <c r="F187"/>
      <c r="G187"/>
      <c r="H187"/>
      <c r="I187"/>
      <c r="J187"/>
      <c r="K187"/>
      <c r="L187"/>
    </row>
    <row r="188" spans="1:12">
      <c r="A188"/>
      <c r="B188"/>
      <c r="C188"/>
      <c r="D188"/>
      <c r="E188"/>
      <c r="F188"/>
      <c r="G188"/>
      <c r="H188"/>
      <c r="I188"/>
      <c r="J188"/>
      <c r="K188"/>
      <c r="L188"/>
    </row>
    <row r="189" spans="1:12">
      <c r="A189"/>
      <c r="B189"/>
      <c r="C189"/>
      <c r="D189"/>
      <c r="E189"/>
      <c r="F189"/>
      <c r="G189"/>
      <c r="H189"/>
      <c r="I189"/>
      <c r="J189"/>
      <c r="K189"/>
      <c r="L189"/>
    </row>
    <row r="190" spans="1:12">
      <c r="A190"/>
      <c r="B190"/>
      <c r="C190"/>
      <c r="D190"/>
      <c r="E190"/>
      <c r="F190"/>
      <c r="G190"/>
      <c r="H190"/>
      <c r="I190"/>
      <c r="J190"/>
      <c r="K190"/>
      <c r="L190"/>
    </row>
    <row r="191" spans="1:12">
      <c r="A191"/>
      <c r="B191"/>
      <c r="C191"/>
      <c r="D191"/>
      <c r="E191"/>
      <c r="F191"/>
      <c r="G191"/>
      <c r="H191"/>
      <c r="I191"/>
      <c r="J191"/>
      <c r="K191"/>
      <c r="L191"/>
    </row>
    <row r="192" spans="1:12">
      <c r="A192"/>
      <c r="B192"/>
      <c r="C192"/>
      <c r="D192"/>
      <c r="E192"/>
      <c r="F192"/>
      <c r="G192"/>
      <c r="H192"/>
      <c r="I192"/>
      <c r="J192"/>
      <c r="K192"/>
      <c r="L192"/>
    </row>
    <row r="193" spans="1:12">
      <c r="A193"/>
      <c r="B193"/>
      <c r="C193"/>
      <c r="D193"/>
      <c r="E193"/>
      <c r="F193"/>
      <c r="G193"/>
      <c r="H193"/>
      <c r="I193"/>
      <c r="J193"/>
      <c r="K193"/>
      <c r="L193"/>
    </row>
    <row r="194" spans="1:12">
      <c r="A194"/>
      <c r="B194"/>
      <c r="C194"/>
      <c r="D194"/>
      <c r="E194"/>
      <c r="F194"/>
      <c r="G194"/>
      <c r="H194"/>
      <c r="I194"/>
      <c r="J194"/>
      <c r="K194"/>
      <c r="L194"/>
    </row>
    <row r="195" spans="1:12">
      <c r="A195"/>
      <c r="B195"/>
      <c r="C195"/>
      <c r="D195"/>
      <c r="E195"/>
      <c r="F195"/>
      <c r="G195"/>
      <c r="H195"/>
      <c r="I195"/>
      <c r="J195"/>
      <c r="K195"/>
      <c r="L195"/>
    </row>
    <row r="196" spans="1:12">
      <c r="A196"/>
      <c r="B196"/>
      <c r="C196"/>
      <c r="D196"/>
      <c r="E196"/>
      <c r="F196"/>
      <c r="G196"/>
      <c r="H196"/>
      <c r="I196"/>
      <c r="J196"/>
      <c r="K196"/>
      <c r="L196"/>
    </row>
    <row r="197" spans="1:12">
      <c r="A197"/>
      <c r="B197"/>
      <c r="C197"/>
      <c r="D197"/>
      <c r="E197"/>
      <c r="F197"/>
      <c r="G197"/>
      <c r="H197"/>
      <c r="I197"/>
      <c r="J197"/>
      <c r="K197"/>
      <c r="L197"/>
    </row>
    <row r="198" spans="1:12">
      <c r="A198"/>
      <c r="B198"/>
      <c r="C198"/>
      <c r="D198"/>
      <c r="E198"/>
      <c r="F198"/>
      <c r="G198"/>
      <c r="H198"/>
      <c r="I198"/>
      <c r="J198"/>
      <c r="K198"/>
      <c r="L198"/>
    </row>
    <row r="199" spans="1:12">
      <c r="A199"/>
      <c r="B199"/>
      <c r="C199"/>
      <c r="D199"/>
      <c r="E199"/>
      <c r="F199"/>
      <c r="G199"/>
      <c r="H199"/>
      <c r="I199"/>
      <c r="J199"/>
      <c r="K199"/>
      <c r="L199"/>
    </row>
    <row r="200" spans="1:12">
      <c r="A200"/>
      <c r="B200"/>
      <c r="C200"/>
      <c r="D200"/>
      <c r="E200"/>
      <c r="F200"/>
      <c r="G200"/>
      <c r="H200"/>
      <c r="I200"/>
      <c r="J200"/>
      <c r="K200"/>
      <c r="L200"/>
    </row>
    <row r="201" spans="1:12">
      <c r="A201"/>
      <c r="B201"/>
      <c r="C201"/>
      <c r="D201"/>
      <c r="E201"/>
      <c r="F201"/>
      <c r="G201"/>
      <c r="H201"/>
      <c r="I201"/>
      <c r="J201"/>
      <c r="K201"/>
      <c r="L201"/>
    </row>
    <row r="202" spans="1:12">
      <c r="A202"/>
      <c r="B202"/>
      <c r="C202"/>
      <c r="D202"/>
      <c r="E202"/>
      <c r="F202"/>
      <c r="G202"/>
      <c r="H202"/>
      <c r="I202"/>
      <c r="J202"/>
      <c r="K202"/>
      <c r="L202"/>
    </row>
    <row r="203" spans="1:12">
      <c r="A203"/>
      <c r="B203"/>
      <c r="C203"/>
      <c r="D203"/>
      <c r="E203"/>
      <c r="F203"/>
      <c r="G203"/>
      <c r="H203"/>
      <c r="I203"/>
      <c r="J203"/>
      <c r="K203"/>
      <c r="L203"/>
    </row>
    <row r="204" spans="1:12">
      <c r="A204"/>
      <c r="B204"/>
      <c r="C204"/>
      <c r="D204"/>
      <c r="E204"/>
      <c r="F204"/>
      <c r="G204"/>
      <c r="H204"/>
      <c r="I204"/>
      <c r="J204"/>
      <c r="K204"/>
      <c r="L204"/>
    </row>
    <row r="205" spans="1:12">
      <c r="A205"/>
      <c r="B205"/>
      <c r="C205"/>
      <c r="D205"/>
      <c r="E205"/>
      <c r="F205"/>
      <c r="G205"/>
      <c r="H205"/>
      <c r="I205"/>
      <c r="J205"/>
      <c r="K205"/>
      <c r="L205"/>
    </row>
    <row r="206" spans="1:12">
      <c r="A206"/>
      <c r="B206"/>
      <c r="C206"/>
      <c r="D206"/>
      <c r="E206"/>
      <c r="F206"/>
      <c r="G206"/>
      <c r="H206"/>
      <c r="I206"/>
      <c r="J206"/>
      <c r="K206"/>
      <c r="L206"/>
    </row>
    <row r="207" spans="1:12">
      <c r="A207"/>
      <c r="B207"/>
      <c r="C207"/>
      <c r="D207"/>
      <c r="E207"/>
      <c r="F207"/>
      <c r="G207"/>
      <c r="H207"/>
      <c r="I207"/>
      <c r="J207"/>
      <c r="K207"/>
      <c r="L207"/>
    </row>
    <row r="208" spans="1:12">
      <c r="A208"/>
      <c r="B208"/>
      <c r="C208"/>
      <c r="D208"/>
      <c r="E208"/>
      <c r="F208"/>
      <c r="G208"/>
      <c r="H208"/>
      <c r="I208"/>
      <c r="J208"/>
      <c r="K208"/>
      <c r="L208"/>
    </row>
    <row r="209" spans="1:12">
      <c r="A209"/>
      <c r="B209"/>
      <c r="C209"/>
      <c r="D209"/>
      <c r="E209"/>
      <c r="F209"/>
      <c r="G209"/>
      <c r="H209"/>
      <c r="I209"/>
      <c r="J209"/>
      <c r="K209"/>
      <c r="L209"/>
    </row>
    <row r="210" spans="1:12">
      <c r="A210"/>
      <c r="B210"/>
      <c r="C210"/>
      <c r="D210"/>
      <c r="E210"/>
      <c r="F210"/>
      <c r="G210"/>
      <c r="H210"/>
      <c r="I210"/>
      <c r="J210"/>
      <c r="K210"/>
      <c r="L210"/>
    </row>
    <row r="211" spans="1:12">
      <c r="A211"/>
      <c r="B211"/>
      <c r="C211"/>
      <c r="D211"/>
      <c r="E211"/>
      <c r="F211"/>
      <c r="G211"/>
      <c r="H211"/>
      <c r="I211"/>
      <c r="J211"/>
      <c r="K211"/>
      <c r="L211"/>
    </row>
    <row r="212" spans="1:12">
      <c r="A212"/>
      <c r="B212"/>
      <c r="C212"/>
      <c r="D212"/>
      <c r="E212"/>
      <c r="F212"/>
      <c r="G212"/>
      <c r="H212"/>
      <c r="I212"/>
      <c r="J212"/>
      <c r="K212"/>
      <c r="L212"/>
    </row>
    <row r="213" spans="1:12">
      <c r="A213"/>
      <c r="B213"/>
      <c r="C213"/>
      <c r="D213"/>
      <c r="E213"/>
      <c r="F213"/>
      <c r="G213"/>
      <c r="H213"/>
      <c r="I213"/>
      <c r="J213"/>
      <c r="K213"/>
      <c r="L213"/>
    </row>
    <row r="214" spans="1:12">
      <c r="A214"/>
      <c r="B214"/>
      <c r="C214"/>
      <c r="D214"/>
      <c r="E214"/>
      <c r="F214"/>
      <c r="G214"/>
      <c r="H214"/>
      <c r="I214"/>
      <c r="J214"/>
      <c r="K214"/>
      <c r="L214"/>
    </row>
    <row r="215" spans="1:12">
      <c r="A215"/>
      <c r="B215"/>
      <c r="C215"/>
      <c r="D215"/>
      <c r="E215"/>
      <c r="F215"/>
      <c r="G215"/>
      <c r="H215"/>
      <c r="I215"/>
      <c r="J215"/>
      <c r="K215"/>
      <c r="L215"/>
    </row>
    <row r="216" spans="1:12">
      <c r="A216"/>
      <c r="B216"/>
      <c r="C216"/>
      <c r="D216"/>
      <c r="E216"/>
      <c r="F216"/>
      <c r="G216"/>
      <c r="H216"/>
      <c r="I216"/>
      <c r="J216"/>
      <c r="K216"/>
      <c r="L216"/>
    </row>
    <row r="217" spans="1:12">
      <c r="A217"/>
      <c r="B217"/>
      <c r="C217"/>
      <c r="D217"/>
      <c r="E217"/>
      <c r="F217"/>
      <c r="G217"/>
      <c r="H217"/>
      <c r="I217"/>
      <c r="J217"/>
      <c r="K217"/>
      <c r="L217"/>
    </row>
    <row r="218" spans="1:12">
      <c r="A218"/>
      <c r="B218"/>
      <c r="C218"/>
      <c r="D218"/>
      <c r="E218"/>
      <c r="F218"/>
      <c r="G218"/>
      <c r="H218"/>
      <c r="I218"/>
      <c r="J218"/>
      <c r="K218"/>
      <c r="L218"/>
    </row>
    <row r="219" spans="1:12">
      <c r="A219"/>
      <c r="B219"/>
      <c r="C219"/>
      <c r="D219"/>
      <c r="E219"/>
      <c r="F219"/>
      <c r="G219"/>
      <c r="H219"/>
      <c r="I219"/>
      <c r="J219"/>
      <c r="K219"/>
      <c r="L219"/>
    </row>
    <row r="220" spans="1:12">
      <c r="A220"/>
      <c r="B220"/>
      <c r="C220"/>
      <c r="D220"/>
      <c r="E220"/>
      <c r="F220"/>
      <c r="G220"/>
      <c r="H220"/>
      <c r="I220"/>
      <c r="J220"/>
      <c r="K220"/>
      <c r="L220"/>
    </row>
    <row r="221" spans="1:12">
      <c r="A221"/>
      <c r="B221"/>
      <c r="C221"/>
      <c r="D221"/>
      <c r="E221"/>
      <c r="F221"/>
      <c r="G221"/>
      <c r="H221"/>
      <c r="I221"/>
      <c r="J221"/>
      <c r="K221"/>
      <c r="L221"/>
    </row>
    <row r="222" spans="1:12">
      <c r="A222"/>
      <c r="B222"/>
      <c r="C222"/>
      <c r="D222"/>
      <c r="E222"/>
      <c r="F222"/>
      <c r="G222"/>
      <c r="H222"/>
      <c r="I222"/>
      <c r="J222"/>
      <c r="K222"/>
      <c r="L222"/>
    </row>
    <row r="223" spans="1:12">
      <c r="A223"/>
      <c r="B223"/>
      <c r="C223"/>
      <c r="D223"/>
      <c r="E223"/>
      <c r="F223"/>
      <c r="G223"/>
      <c r="H223"/>
      <c r="I223"/>
      <c r="J223"/>
      <c r="K223"/>
      <c r="L223"/>
    </row>
    <row r="224" spans="1:12">
      <c r="A224"/>
      <c r="B224"/>
      <c r="C224"/>
      <c r="D224"/>
      <c r="E224"/>
      <c r="F224"/>
      <c r="G224"/>
      <c r="H224"/>
      <c r="I224"/>
      <c r="J224"/>
      <c r="K224"/>
      <c r="L224"/>
    </row>
    <row r="225" spans="1:12">
      <c r="A225"/>
      <c r="B225"/>
      <c r="C225"/>
      <c r="D225"/>
      <c r="E225"/>
      <c r="F225"/>
      <c r="G225"/>
      <c r="H225"/>
      <c r="I225"/>
      <c r="J225"/>
      <c r="K225"/>
      <c r="L225"/>
    </row>
    <row r="226" spans="1:12">
      <c r="A226"/>
      <c r="B226"/>
      <c r="C226"/>
      <c r="D226"/>
      <c r="E226"/>
      <c r="F226"/>
      <c r="G226"/>
      <c r="H226"/>
      <c r="I226"/>
      <c r="J226"/>
      <c r="K226"/>
      <c r="L226"/>
    </row>
    <row r="227" spans="1:12">
      <c r="A227"/>
      <c r="B227"/>
      <c r="C227"/>
      <c r="D227"/>
      <c r="E227"/>
      <c r="F227"/>
      <c r="G227"/>
      <c r="H227"/>
      <c r="I227"/>
      <c r="J227"/>
      <c r="K227"/>
      <c r="L227"/>
    </row>
    <row r="228" spans="1:12">
      <c r="A228"/>
      <c r="B228"/>
      <c r="C228"/>
      <c r="D228"/>
      <c r="E228"/>
      <c r="F228"/>
      <c r="G228"/>
      <c r="H228"/>
      <c r="I228"/>
      <c r="J228"/>
      <c r="K228"/>
      <c r="L228"/>
    </row>
    <row r="229" spans="1:12">
      <c r="A229"/>
      <c r="B229"/>
      <c r="C229"/>
      <c r="D229"/>
      <c r="E229"/>
      <c r="F229"/>
      <c r="G229"/>
      <c r="H229"/>
      <c r="I229"/>
      <c r="J229"/>
      <c r="K229"/>
      <c r="L229"/>
    </row>
    <row r="230" spans="1:12">
      <c r="A230"/>
      <c r="B230"/>
      <c r="C230"/>
      <c r="D230"/>
      <c r="E230"/>
      <c r="F230"/>
      <c r="G230"/>
      <c r="H230"/>
      <c r="I230"/>
      <c r="J230"/>
      <c r="K230"/>
      <c r="L230"/>
    </row>
    <row r="231" spans="1:12">
      <c r="A231"/>
      <c r="B231"/>
      <c r="C231"/>
      <c r="D231"/>
      <c r="E231"/>
      <c r="F231"/>
      <c r="G231"/>
      <c r="H231"/>
      <c r="I231"/>
      <c r="J231"/>
      <c r="K231"/>
      <c r="L231"/>
    </row>
    <row r="232" spans="1:12">
      <c r="A232"/>
      <c r="B232"/>
      <c r="C232"/>
      <c r="D232"/>
      <c r="E232"/>
      <c r="F232"/>
      <c r="G232"/>
      <c r="H232"/>
      <c r="I232"/>
      <c r="J232"/>
      <c r="K232"/>
      <c r="L232"/>
    </row>
    <row r="233" spans="1:12">
      <c r="A233"/>
      <c r="B233"/>
      <c r="C233"/>
      <c r="D233"/>
      <c r="E233"/>
      <c r="F233"/>
      <c r="G233"/>
      <c r="H233"/>
      <c r="I233"/>
      <c r="J233"/>
      <c r="K233"/>
      <c r="L233"/>
    </row>
    <row r="234" spans="1:12">
      <c r="A234"/>
      <c r="B234"/>
      <c r="C234"/>
      <c r="D234"/>
      <c r="E234"/>
      <c r="F234"/>
      <c r="G234"/>
      <c r="H234"/>
      <c r="I234"/>
      <c r="J234"/>
      <c r="K234"/>
      <c r="L234"/>
    </row>
    <row r="235" spans="1:12">
      <c r="A235"/>
      <c r="B235"/>
      <c r="C235"/>
      <c r="D235"/>
      <c r="E235"/>
      <c r="F235"/>
      <c r="G235"/>
      <c r="H235"/>
      <c r="I235"/>
      <c r="J235"/>
      <c r="K235"/>
      <c r="L235"/>
    </row>
    <row r="236" spans="1:12">
      <c r="A236"/>
      <c r="B236"/>
      <c r="C236"/>
      <c r="D236"/>
      <c r="E236"/>
      <c r="F236"/>
      <c r="G236"/>
      <c r="H236"/>
      <c r="I236"/>
      <c r="J236"/>
      <c r="K236"/>
      <c r="L236"/>
    </row>
    <row r="237" spans="1:12">
      <c r="A237"/>
      <c r="B237"/>
      <c r="C237"/>
      <c r="D237"/>
      <c r="E237"/>
      <c r="F237"/>
      <c r="G237"/>
      <c r="H237"/>
      <c r="I237"/>
      <c r="J237"/>
      <c r="K237"/>
      <c r="L237"/>
    </row>
    <row r="238" spans="1:12">
      <c r="A238"/>
      <c r="B238"/>
      <c r="C238"/>
      <c r="D238"/>
      <c r="E238"/>
      <c r="F238"/>
      <c r="G238"/>
      <c r="H238"/>
      <c r="I238"/>
      <c r="J238"/>
      <c r="K238"/>
      <c r="L238"/>
    </row>
    <row r="239" spans="1:12">
      <c r="A239"/>
      <c r="B239"/>
      <c r="C239"/>
      <c r="D239"/>
      <c r="E239"/>
      <c r="F239"/>
      <c r="G239"/>
      <c r="H239"/>
      <c r="I239"/>
      <c r="J239"/>
      <c r="K239"/>
      <c r="L239"/>
    </row>
    <row r="240" spans="1:12">
      <c r="A240"/>
      <c r="B240"/>
      <c r="C240"/>
      <c r="D240"/>
      <c r="E240"/>
      <c r="F240"/>
      <c r="G240"/>
      <c r="H240"/>
      <c r="I240"/>
      <c r="J240"/>
      <c r="K240"/>
      <c r="L240"/>
    </row>
    <row r="241" spans="1:12">
      <c r="A241"/>
      <c r="B241"/>
      <c r="C241"/>
      <c r="D241"/>
      <c r="E241"/>
      <c r="F241"/>
      <c r="G241"/>
      <c r="H241"/>
      <c r="I241"/>
      <c r="J241"/>
      <c r="K241"/>
      <c r="L241"/>
    </row>
    <row r="242" spans="1:12">
      <c r="A242"/>
      <c r="B242"/>
      <c r="C242"/>
      <c r="D242"/>
      <c r="E242"/>
      <c r="F242"/>
      <c r="G242"/>
      <c r="H242"/>
      <c r="I242"/>
      <c r="J242"/>
      <c r="K242"/>
      <c r="L242"/>
    </row>
    <row r="243" spans="1:12">
      <c r="A243"/>
      <c r="B243"/>
      <c r="C243"/>
      <c r="D243"/>
      <c r="E243"/>
      <c r="F243"/>
      <c r="G243"/>
      <c r="H243"/>
      <c r="I243"/>
      <c r="J243"/>
      <c r="K243"/>
      <c r="L243"/>
    </row>
    <row r="244" spans="1:12">
      <c r="A244"/>
      <c r="B244"/>
      <c r="C244"/>
      <c r="D244"/>
      <c r="E244"/>
      <c r="F244"/>
      <c r="G244"/>
      <c r="H244"/>
      <c r="I244"/>
      <c r="J244"/>
      <c r="K244"/>
      <c r="L244"/>
    </row>
    <row r="245" spans="1:12">
      <c r="A245"/>
      <c r="B245"/>
      <c r="C245"/>
      <c r="D245"/>
      <c r="E245"/>
      <c r="F245"/>
      <c r="G245"/>
      <c r="H245"/>
      <c r="I245"/>
      <c r="J245"/>
      <c r="K245"/>
      <c r="L245"/>
    </row>
    <row r="246" spans="1:12">
      <c r="A246"/>
      <c r="B246"/>
      <c r="C246"/>
      <c r="D246"/>
      <c r="E246"/>
      <c r="F246"/>
      <c r="G246"/>
      <c r="H246"/>
      <c r="I246"/>
      <c r="J246"/>
      <c r="K246"/>
      <c r="L246"/>
    </row>
    <row r="247" spans="1:12">
      <c r="A247"/>
      <c r="B247"/>
      <c r="C247"/>
      <c r="D247"/>
      <c r="E247"/>
      <c r="F247"/>
      <c r="G247"/>
      <c r="H247"/>
      <c r="I247"/>
      <c r="J247"/>
      <c r="K247"/>
      <c r="L247"/>
    </row>
    <row r="248" spans="1:12">
      <c r="A248"/>
      <c r="B248"/>
      <c r="C248"/>
      <c r="D248"/>
      <c r="E248"/>
      <c r="F248"/>
      <c r="G248"/>
      <c r="H248"/>
      <c r="I248"/>
      <c r="J248"/>
      <c r="K248"/>
      <c r="L248"/>
    </row>
    <row r="249" spans="1:12">
      <c r="A249"/>
      <c r="B249"/>
      <c r="C249"/>
      <c r="D249"/>
      <c r="E249"/>
      <c r="F249"/>
      <c r="G249"/>
      <c r="H249"/>
      <c r="I249"/>
      <c r="J249"/>
      <c r="K249"/>
      <c r="L249"/>
    </row>
    <row r="250" spans="1:12">
      <c r="A250"/>
      <c r="B250"/>
      <c r="C250"/>
      <c r="D250"/>
      <c r="E250"/>
      <c r="F250"/>
      <c r="G250"/>
      <c r="H250"/>
      <c r="I250"/>
      <c r="J250"/>
      <c r="K250"/>
      <c r="L250"/>
    </row>
    <row r="251" spans="1:12">
      <c r="A251"/>
      <c r="B251"/>
      <c r="C251"/>
      <c r="D251"/>
      <c r="E251"/>
      <c r="F251"/>
      <c r="G251"/>
      <c r="H251"/>
      <c r="I251"/>
      <c r="J251"/>
      <c r="K251"/>
      <c r="L251"/>
    </row>
    <row r="252" spans="1:12">
      <c r="A252"/>
      <c r="B252"/>
      <c r="C252"/>
      <c r="D252"/>
      <c r="E252"/>
      <c r="F252"/>
      <c r="G252"/>
      <c r="H252"/>
      <c r="I252"/>
      <c r="J252"/>
      <c r="K252"/>
      <c r="L252"/>
    </row>
    <row r="253" spans="1:12">
      <c r="A253"/>
      <c r="B253"/>
      <c r="C253"/>
      <c r="D253"/>
      <c r="E253"/>
      <c r="F253"/>
      <c r="G253"/>
      <c r="H253"/>
      <c r="I253"/>
      <c r="J253"/>
      <c r="K253"/>
      <c r="L253"/>
    </row>
    <row r="254" spans="1:12">
      <c r="A254"/>
      <c r="B254"/>
      <c r="C254"/>
      <c r="D254"/>
      <c r="E254"/>
      <c r="F254"/>
      <c r="G254"/>
      <c r="H254"/>
      <c r="I254"/>
      <c r="J254"/>
      <c r="K254"/>
      <c r="L254"/>
    </row>
    <row r="255" spans="1:12">
      <c r="A255"/>
      <c r="B255"/>
      <c r="C255"/>
      <c r="D255"/>
      <c r="E255"/>
      <c r="F255"/>
      <c r="G255"/>
      <c r="H255"/>
      <c r="I255"/>
      <c r="J255"/>
      <c r="K255"/>
      <c r="L255"/>
    </row>
    <row r="256" spans="1:12">
      <c r="A256"/>
      <c r="B256"/>
      <c r="C256"/>
      <c r="D256"/>
      <c r="E256"/>
      <c r="F256"/>
      <c r="G256"/>
      <c r="H256"/>
      <c r="I256"/>
      <c r="J256"/>
      <c r="K256"/>
      <c r="L256"/>
    </row>
    <row r="257" spans="1:12">
      <c r="A257"/>
      <c r="B257"/>
      <c r="C257"/>
      <c r="D257"/>
      <c r="E257"/>
      <c r="F257"/>
      <c r="G257"/>
      <c r="H257"/>
      <c r="I257"/>
      <c r="J257"/>
      <c r="K257"/>
      <c r="L257"/>
    </row>
    <row r="258" spans="1:12">
      <c r="A258"/>
      <c r="B258"/>
      <c r="C258"/>
      <c r="D258"/>
      <c r="E258"/>
      <c r="F258"/>
      <c r="G258"/>
      <c r="H258"/>
      <c r="I258"/>
      <c r="J258"/>
      <c r="K258"/>
      <c r="L258"/>
    </row>
    <row r="259" spans="1:12">
      <c r="A259"/>
      <c r="B259"/>
      <c r="C259"/>
      <c r="D259"/>
      <c r="E259"/>
      <c r="F259"/>
      <c r="G259"/>
      <c r="H259"/>
      <c r="I259"/>
      <c r="J259"/>
      <c r="K259"/>
      <c r="L259"/>
    </row>
    <row r="260" spans="1:12">
      <c r="A260"/>
      <c r="B260"/>
      <c r="C260"/>
      <c r="D260"/>
      <c r="E260"/>
      <c r="F260"/>
      <c r="G260"/>
      <c r="H260"/>
      <c r="I260"/>
      <c r="J260"/>
      <c r="K260"/>
      <c r="L260"/>
    </row>
    <row r="261" spans="1:12">
      <c r="A261"/>
      <c r="B261"/>
      <c r="C261"/>
      <c r="D261"/>
      <c r="E261"/>
      <c r="F261"/>
      <c r="G261"/>
      <c r="H261"/>
      <c r="I261"/>
      <c r="J261"/>
      <c r="K261"/>
      <c r="L261"/>
    </row>
    <row r="262" spans="1:12">
      <c r="A262"/>
      <c r="B262"/>
      <c r="C262"/>
      <c r="D262"/>
      <c r="E262"/>
      <c r="F262"/>
      <c r="G262"/>
      <c r="H262"/>
      <c r="I262"/>
      <c r="J262"/>
      <c r="K262"/>
      <c r="L262"/>
    </row>
    <row r="263" spans="1:12">
      <c r="A263"/>
      <c r="B263"/>
      <c r="C263"/>
      <c r="D263"/>
      <c r="E263"/>
      <c r="F263"/>
      <c r="G263"/>
      <c r="H263"/>
      <c r="I263"/>
      <c r="J263"/>
      <c r="K263"/>
      <c r="L263"/>
    </row>
    <row r="264" spans="1:12">
      <c r="A264"/>
      <c r="B264"/>
      <c r="C264"/>
      <c r="D264"/>
      <c r="E264"/>
      <c r="F264"/>
      <c r="G264"/>
      <c r="H264"/>
      <c r="I264"/>
      <c r="J264"/>
      <c r="K264"/>
      <c r="L264"/>
    </row>
    <row r="265" spans="1:12">
      <c r="A265"/>
      <c r="B265"/>
      <c r="C265"/>
      <c r="D265"/>
      <c r="E265"/>
      <c r="F265"/>
      <c r="G265"/>
      <c r="H265"/>
      <c r="I265"/>
      <c r="J265"/>
      <c r="K265"/>
      <c r="L265"/>
    </row>
    <row r="266" spans="1:12">
      <c r="A266"/>
      <c r="B266"/>
      <c r="C266"/>
      <c r="D266"/>
      <c r="E266"/>
      <c r="F266"/>
      <c r="G266"/>
      <c r="H266"/>
      <c r="I266"/>
      <c r="J266"/>
      <c r="K266"/>
      <c r="L266"/>
    </row>
    <row r="267" spans="1:12">
      <c r="A267"/>
      <c r="B267"/>
      <c r="C267"/>
      <c r="D267"/>
      <c r="E267"/>
      <c r="F267"/>
      <c r="G267"/>
      <c r="H267"/>
      <c r="I267"/>
      <c r="J267"/>
      <c r="K267"/>
      <c r="L267"/>
    </row>
    <row r="268" spans="1:12">
      <c r="A268"/>
      <c r="B268"/>
      <c r="C268"/>
      <c r="D268"/>
      <c r="E268"/>
      <c r="F268"/>
      <c r="G268"/>
      <c r="H268"/>
      <c r="I268"/>
      <c r="J268"/>
      <c r="K268"/>
      <c r="L268"/>
    </row>
    <row r="269" spans="1:12">
      <c r="A269"/>
      <c r="B269"/>
      <c r="C269"/>
      <c r="D269"/>
      <c r="E269"/>
      <c r="F269"/>
      <c r="G269"/>
      <c r="H269"/>
      <c r="I269"/>
      <c r="J269"/>
      <c r="K269"/>
      <c r="L269"/>
    </row>
    <row r="270" spans="1:12">
      <c r="A270"/>
      <c r="B270"/>
      <c r="C270"/>
      <c r="D270"/>
      <c r="E270"/>
      <c r="F270"/>
      <c r="G270"/>
      <c r="H270"/>
      <c r="I270"/>
      <c r="J270"/>
      <c r="K270"/>
      <c r="L270"/>
    </row>
    <row r="271" spans="1:12">
      <c r="A271"/>
      <c r="B271"/>
      <c r="C271"/>
      <c r="D271"/>
      <c r="E271"/>
      <c r="F271"/>
      <c r="G271"/>
      <c r="H271"/>
      <c r="I271"/>
      <c r="J271"/>
      <c r="K271"/>
      <c r="L271"/>
    </row>
    <row r="272" spans="1:12">
      <c r="A272"/>
      <c r="B272"/>
      <c r="C272"/>
      <c r="D272"/>
      <c r="E272"/>
      <c r="F272"/>
      <c r="G272"/>
      <c r="H272"/>
      <c r="I272"/>
      <c r="J272"/>
      <c r="K272"/>
      <c r="L272"/>
    </row>
    <row r="273" spans="1:12">
      <c r="A273"/>
      <c r="B273"/>
      <c r="C273"/>
      <c r="D273"/>
      <c r="E273"/>
      <c r="F273"/>
      <c r="G273"/>
      <c r="H273"/>
      <c r="I273"/>
      <c r="J273"/>
      <c r="K273"/>
      <c r="L273"/>
    </row>
    <row r="274" spans="1:12">
      <c r="A274"/>
      <c r="B274"/>
      <c r="C274"/>
      <c r="D274"/>
      <c r="E274"/>
      <c r="F274"/>
      <c r="G274"/>
      <c r="H274"/>
      <c r="I274"/>
      <c r="J274"/>
      <c r="K274"/>
      <c r="L274"/>
    </row>
    <row r="275" spans="1:12">
      <c r="A275"/>
      <c r="B275"/>
      <c r="C275"/>
      <c r="D275"/>
      <c r="E275"/>
      <c r="F275"/>
      <c r="G275"/>
      <c r="H275"/>
      <c r="I275"/>
      <c r="J275"/>
      <c r="K275"/>
      <c r="L275"/>
    </row>
  </sheetData>
  <mergeCells count="1">
    <mergeCell ref="A3:L3"/>
  </mergeCells>
  <pageMargins left="0.7" right="0.7" top="0.75" bottom="0.75" header="0.3" footer="0.3"/>
  <pageSetup orientation="portrait" horizontalDpi="0"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E509F-3EF0-4EB3-881A-A05BA6487678}">
  <dimension ref="A1:AB95"/>
  <sheetViews>
    <sheetView zoomScale="90" zoomScaleNormal="90" workbookViewId="0"/>
  </sheetViews>
  <sheetFormatPr defaultColWidth="9.109375" defaultRowHeight="15.6"/>
  <cols>
    <col min="1" max="1" width="10.33203125" style="1" customWidth="1"/>
    <col min="2" max="3" width="14.6640625" style="1" customWidth="1"/>
    <col min="4" max="10" width="16" style="1" customWidth="1"/>
    <col min="11" max="12" width="13.44140625" style="1" bestFit="1" customWidth="1"/>
    <col min="13" max="13" width="16" style="1" customWidth="1"/>
    <col min="14" max="14" width="13.6640625" style="1" bestFit="1" customWidth="1"/>
    <col min="15" max="17" width="12.33203125" style="1" bestFit="1" customWidth="1"/>
    <col min="18" max="18" width="13.6640625" style="1" bestFit="1" customWidth="1"/>
    <col min="19" max="20" width="12.33203125" style="1" bestFit="1" customWidth="1"/>
    <col min="21" max="23" width="9.109375" style="1"/>
    <col min="24" max="24" width="12.44140625" style="1" bestFit="1" customWidth="1"/>
    <col min="25" max="26" width="12.33203125" style="1" bestFit="1" customWidth="1"/>
    <col min="27" max="16384" width="9.109375" style="1"/>
  </cols>
  <sheetData>
    <row r="1" spans="1:13" ht="15.75" customHeight="1">
      <c r="A1" s="23" t="s">
        <v>1201</v>
      </c>
      <c r="B1" s="22"/>
      <c r="C1" s="5" t="s">
        <v>38</v>
      </c>
      <c r="D1" s="22"/>
      <c r="E1" s="22"/>
      <c r="F1" s="22"/>
      <c r="G1" s="22"/>
      <c r="H1" s="22"/>
      <c r="I1" s="22"/>
      <c r="J1" s="22"/>
      <c r="K1" s="22"/>
      <c r="L1" s="2"/>
      <c r="M1" s="136"/>
    </row>
    <row r="2" spans="1:13" ht="15.75" customHeight="1">
      <c r="A2" s="21"/>
      <c r="B2" s="21"/>
      <c r="C2" s="21"/>
      <c r="D2" s="21"/>
      <c r="E2" s="21"/>
      <c r="F2" s="21"/>
      <c r="G2" s="21"/>
      <c r="H2" s="21"/>
      <c r="I2" s="21"/>
      <c r="J2" s="21"/>
      <c r="K2" s="21"/>
      <c r="L2" s="2"/>
      <c r="M2" s="136"/>
    </row>
    <row r="3" spans="1:13" ht="31.2" customHeight="1">
      <c r="A3" s="1655" t="s">
        <v>2745</v>
      </c>
      <c r="B3" s="1655"/>
      <c r="C3" s="1655"/>
      <c r="D3" s="1655"/>
      <c r="E3" s="1655"/>
      <c r="F3" s="1655"/>
      <c r="G3" s="1655"/>
      <c r="H3" s="1655"/>
      <c r="I3" s="1655"/>
      <c r="J3" s="1655"/>
      <c r="K3" s="1655"/>
      <c r="L3" s="1655"/>
      <c r="M3" s="136"/>
    </row>
    <row r="4" spans="1:13">
      <c r="A4" s="21"/>
      <c r="B4" s="136"/>
      <c r="C4" s="136"/>
      <c r="D4" s="136"/>
      <c r="E4" s="136"/>
      <c r="F4" s="136"/>
      <c r="G4" s="136"/>
      <c r="H4" s="136"/>
      <c r="I4" s="136"/>
      <c r="J4" s="136"/>
      <c r="K4" s="136"/>
      <c r="L4" s="136"/>
      <c r="M4" s="136"/>
    </row>
    <row r="5" spans="1:13" ht="31.2">
      <c r="A5" s="466" t="s">
        <v>1440</v>
      </c>
      <c r="B5" s="466" t="s">
        <v>1952</v>
      </c>
      <c r="C5" s="134" t="s">
        <v>2740</v>
      </c>
      <c r="D5" s="134" t="s">
        <v>2739</v>
      </c>
      <c r="E5" s="134" t="s">
        <v>2738</v>
      </c>
      <c r="F5" s="136"/>
      <c r="G5" s="136"/>
      <c r="H5" s="136"/>
      <c r="I5" s="136"/>
      <c r="J5" s="136"/>
      <c r="K5" s="136"/>
      <c r="L5" s="136"/>
      <c r="M5" s="136"/>
    </row>
    <row r="6" spans="1:13">
      <c r="A6" s="470" t="s">
        <v>2646</v>
      </c>
      <c r="B6" s="1266">
        <v>0.8</v>
      </c>
      <c r="C6" s="1503">
        <v>0</v>
      </c>
      <c r="D6" s="1503">
        <v>0</v>
      </c>
      <c r="E6" s="1503">
        <v>0</v>
      </c>
      <c r="F6" s="136"/>
      <c r="G6" s="136"/>
      <c r="H6" s="136"/>
      <c r="I6" s="136"/>
      <c r="J6" s="136"/>
      <c r="K6" s="136"/>
      <c r="L6" s="136"/>
      <c r="M6" s="136"/>
    </row>
    <row r="7" spans="1:13">
      <c r="A7" s="470" t="s">
        <v>2732</v>
      </c>
      <c r="B7" s="1266">
        <v>0.08</v>
      </c>
      <c r="C7" s="1223">
        <v>50000</v>
      </c>
      <c r="D7" s="1223">
        <v>100000</v>
      </c>
      <c r="E7" s="1223">
        <v>80000</v>
      </c>
      <c r="F7" s="136"/>
      <c r="G7" s="136"/>
      <c r="H7" s="136"/>
      <c r="I7" s="136"/>
      <c r="J7" s="136"/>
      <c r="K7" s="136"/>
      <c r="L7" s="136"/>
      <c r="M7" s="136"/>
    </row>
    <row r="8" spans="1:13">
      <c r="A8" s="470" t="s">
        <v>2730</v>
      </c>
      <c r="B8" s="1266">
        <v>0.06</v>
      </c>
      <c r="C8" s="1503">
        <v>0</v>
      </c>
      <c r="D8" s="1223">
        <v>150000</v>
      </c>
      <c r="E8" s="1223">
        <v>120000</v>
      </c>
      <c r="F8" s="136"/>
      <c r="G8" s="136"/>
      <c r="H8" s="136"/>
      <c r="I8" s="136"/>
      <c r="J8" s="136"/>
      <c r="K8" s="136"/>
      <c r="L8" s="136"/>
      <c r="M8" s="136"/>
    </row>
    <row r="9" spans="1:13">
      <c r="A9" s="470" t="s">
        <v>988</v>
      </c>
      <c r="B9" s="1266">
        <v>0.03</v>
      </c>
      <c r="C9" s="1223">
        <v>100000</v>
      </c>
      <c r="D9" s="1503">
        <v>0</v>
      </c>
      <c r="E9" s="1223">
        <v>175000</v>
      </c>
      <c r="F9" s="136"/>
      <c r="G9" s="136"/>
      <c r="H9" s="136"/>
      <c r="I9" s="136"/>
      <c r="J9" s="136"/>
      <c r="K9" s="136"/>
      <c r="L9" s="136"/>
      <c r="M9" s="136"/>
    </row>
    <row r="10" spans="1:13">
      <c r="A10" s="470" t="s">
        <v>987</v>
      </c>
      <c r="B10" s="1266">
        <v>0.02</v>
      </c>
      <c r="C10" s="1223">
        <v>200000</v>
      </c>
      <c r="D10" s="1223">
        <v>220000</v>
      </c>
      <c r="E10" s="1223">
        <v>250000</v>
      </c>
      <c r="F10" s="136"/>
      <c r="G10" s="136"/>
      <c r="H10" s="136"/>
      <c r="I10" s="136"/>
      <c r="J10" s="136"/>
      <c r="K10" s="136"/>
      <c r="L10" s="136"/>
      <c r="M10" s="136"/>
    </row>
    <row r="11" spans="1:13">
      <c r="A11" s="470" t="s">
        <v>986</v>
      </c>
      <c r="B11" s="1266">
        <v>0.01</v>
      </c>
      <c r="C11" s="1503">
        <v>0</v>
      </c>
      <c r="D11" s="1223">
        <v>300000</v>
      </c>
      <c r="E11" s="1503">
        <v>0</v>
      </c>
      <c r="F11" s="136"/>
      <c r="G11" s="136"/>
      <c r="H11" s="136"/>
      <c r="I11" s="136"/>
      <c r="J11" s="136"/>
      <c r="K11" s="136"/>
      <c r="L11" s="136"/>
      <c r="M11" s="136"/>
    </row>
    <row r="12" spans="1:13">
      <c r="A12" s="21"/>
      <c r="B12" s="136"/>
      <c r="C12" s="136"/>
      <c r="D12" s="136"/>
      <c r="E12" s="136"/>
      <c r="F12" s="136"/>
      <c r="G12" s="136"/>
      <c r="H12" s="136"/>
      <c r="I12" s="136"/>
      <c r="J12" s="136"/>
      <c r="K12" s="136"/>
      <c r="L12" s="136"/>
      <c r="M12" s="136"/>
    </row>
    <row r="13" spans="1:13" ht="15.6" customHeight="1">
      <c r="A13" s="214" t="s">
        <v>2744</v>
      </c>
      <c r="B13" s="45"/>
      <c r="C13" s="45"/>
      <c r="D13" s="45"/>
      <c r="E13" s="45"/>
      <c r="F13" s="1582">
        <v>2.4999999999999999E-7</v>
      </c>
      <c r="G13" s="45" t="s">
        <v>1667</v>
      </c>
      <c r="H13" s="45"/>
      <c r="I13" s="45"/>
      <c r="J13" s="45"/>
      <c r="K13" s="45"/>
      <c r="L13" s="136"/>
      <c r="M13" s="136"/>
    </row>
    <row r="14" spans="1:13">
      <c r="A14" s="21"/>
      <c r="B14" s="21"/>
      <c r="C14" s="21"/>
      <c r="D14" s="21"/>
      <c r="E14" s="21"/>
      <c r="F14" s="21"/>
      <c r="G14" s="21"/>
      <c r="H14" s="21"/>
      <c r="I14" s="21"/>
      <c r="J14" s="21"/>
      <c r="K14" s="21"/>
      <c r="L14" s="2"/>
      <c r="M14" s="2"/>
    </row>
    <row r="15" spans="1:13">
      <c r="A15" s="214" t="s">
        <v>80</v>
      </c>
      <c r="B15" s="1655" t="s">
        <v>2743</v>
      </c>
      <c r="C15" s="1655"/>
      <c r="D15" s="1655"/>
      <c r="E15" s="1655"/>
      <c r="F15" s="1655"/>
      <c r="G15" s="1655"/>
      <c r="H15" s="1655"/>
      <c r="I15" s="1655"/>
      <c r="J15" s="1655"/>
      <c r="K15" s="1655"/>
      <c r="L15" s="1655"/>
      <c r="M15" s="2"/>
    </row>
    <row r="16" spans="1:13" ht="16.2">
      <c r="A16" s="5"/>
      <c r="B16" s="5" t="s">
        <v>64</v>
      </c>
      <c r="C16" s="5"/>
      <c r="D16" s="4"/>
      <c r="E16" s="4"/>
      <c r="F16" s="4"/>
      <c r="G16" s="4"/>
      <c r="H16" s="3"/>
      <c r="I16" s="3"/>
      <c r="J16" s="2"/>
      <c r="K16" s="3"/>
      <c r="L16" s="2"/>
      <c r="M16" s="2"/>
    </row>
    <row r="17" spans="2:14">
      <c r="C17" s="1581"/>
      <c r="D17" s="1077"/>
      <c r="E17" s="1581"/>
      <c r="F17" s="1581"/>
      <c r="G17" s="1581"/>
      <c r="H17" s="1581"/>
      <c r="I17" s="1570"/>
      <c r="J17" s="1570"/>
      <c r="K17" s="1570"/>
      <c r="L17" s="1570"/>
      <c r="M17" s="1570"/>
      <c r="N17" s="1570"/>
    </row>
    <row r="18" spans="2:14">
      <c r="B18" s="1529" t="s">
        <v>1440</v>
      </c>
      <c r="C18" s="1529" t="s">
        <v>1952</v>
      </c>
      <c r="D18" s="1529" t="s">
        <v>2740</v>
      </c>
      <c r="E18" s="1529" t="s">
        <v>2739</v>
      </c>
      <c r="F18" s="1529" t="s">
        <v>2738</v>
      </c>
      <c r="G18" s="1529" t="s">
        <v>2737</v>
      </c>
      <c r="H18" s="1529" t="s">
        <v>2736</v>
      </c>
      <c r="I18" s="1529" t="s">
        <v>2735</v>
      </c>
      <c r="J18" s="1529" t="s">
        <v>2734</v>
      </c>
      <c r="K18" s="1570"/>
      <c r="L18" s="1516" t="s">
        <v>2733</v>
      </c>
      <c r="M18" s="1561">
        <f>(G27-D27-E27)/2</f>
        <v>1011600000</v>
      </c>
      <c r="N18" s="1570"/>
    </row>
    <row r="19" spans="2:14">
      <c r="B19" s="269" t="s">
        <v>2732</v>
      </c>
      <c r="C19" s="1580">
        <f t="shared" ref="C19:F23" si="0">B7</f>
        <v>0.08</v>
      </c>
      <c r="D19" s="1579">
        <f t="shared" si="0"/>
        <v>50000</v>
      </c>
      <c r="E19" s="1579">
        <f t="shared" si="0"/>
        <v>100000</v>
      </c>
      <c r="F19" s="1579">
        <f t="shared" si="0"/>
        <v>80000</v>
      </c>
      <c r="G19" s="1567">
        <f>SUM(D19:E19)</f>
        <v>150000</v>
      </c>
      <c r="H19" s="1567">
        <f>SUM(D19,F19)</f>
        <v>130000</v>
      </c>
      <c r="I19" s="1567">
        <f>SUM(E19:F19)</f>
        <v>180000</v>
      </c>
      <c r="J19" s="1579">
        <f>SUM(D19:F19)</f>
        <v>230000</v>
      </c>
      <c r="K19" s="1569"/>
      <c r="L19" s="1516" t="s">
        <v>2731</v>
      </c>
      <c r="M19" s="1561">
        <f>(H27-D27-F27)/2</f>
        <v>1582650000</v>
      </c>
      <c r="N19" s="1570"/>
    </row>
    <row r="20" spans="2:14">
      <c r="B20" s="269" t="s">
        <v>2730</v>
      </c>
      <c r="C20" s="269">
        <f t="shared" si="0"/>
        <v>0.06</v>
      </c>
      <c r="D20" s="1579">
        <f t="shared" si="0"/>
        <v>0</v>
      </c>
      <c r="E20" s="1579">
        <f t="shared" si="0"/>
        <v>150000</v>
      </c>
      <c r="F20" s="1579">
        <f t="shared" si="0"/>
        <v>120000</v>
      </c>
      <c r="G20" s="1567">
        <f>SUM(D20:E20)</f>
        <v>150000</v>
      </c>
      <c r="H20" s="1567">
        <f>SUM(D20,F20)</f>
        <v>120000</v>
      </c>
      <c r="I20" s="1567">
        <f>SUM(E20:F20)</f>
        <v>270000</v>
      </c>
      <c r="J20" s="1579">
        <f>SUM(D20:F20)</f>
        <v>270000</v>
      </c>
      <c r="K20" s="1569"/>
      <c r="L20" s="1516" t="s">
        <v>2729</v>
      </c>
      <c r="M20" s="1561">
        <f>(I27-E27-F27)/2</f>
        <v>2238060000</v>
      </c>
    </row>
    <row r="21" spans="2:14">
      <c r="B21" s="269" t="s">
        <v>988</v>
      </c>
      <c r="C21" s="269">
        <f t="shared" si="0"/>
        <v>0.03</v>
      </c>
      <c r="D21" s="1579">
        <f t="shared" si="0"/>
        <v>100000</v>
      </c>
      <c r="E21" s="1579">
        <f t="shared" si="0"/>
        <v>0</v>
      </c>
      <c r="F21" s="1579">
        <f t="shared" si="0"/>
        <v>175000</v>
      </c>
      <c r="G21" s="1567">
        <f>SUM(D21:E21)</f>
        <v>100000</v>
      </c>
      <c r="H21" s="1567">
        <f>SUM(D21,F21)</f>
        <v>275000</v>
      </c>
      <c r="I21" s="1567">
        <f>SUM(E21:F21)</f>
        <v>175000</v>
      </c>
      <c r="J21" s="1579">
        <f>SUM(D21:F21)</f>
        <v>275000</v>
      </c>
      <c r="K21" s="1569"/>
      <c r="L21" s="1569"/>
      <c r="M21" s="1569"/>
    </row>
    <row r="22" spans="2:14">
      <c r="B22" s="269" t="s">
        <v>987</v>
      </c>
      <c r="C22" s="269">
        <f t="shared" si="0"/>
        <v>0.02</v>
      </c>
      <c r="D22" s="1579">
        <f t="shared" si="0"/>
        <v>200000</v>
      </c>
      <c r="E22" s="1579">
        <f t="shared" si="0"/>
        <v>220000</v>
      </c>
      <c r="F22" s="1579">
        <f t="shared" si="0"/>
        <v>250000</v>
      </c>
      <c r="G22" s="1567">
        <f>SUM(D22:E22)</f>
        <v>420000</v>
      </c>
      <c r="H22" s="1567">
        <f>SUM(D22,F22)</f>
        <v>450000</v>
      </c>
      <c r="I22" s="1567">
        <f>SUM(E22:F22)</f>
        <v>470000</v>
      </c>
      <c r="J22" s="1579">
        <f>SUM(D22:F22)</f>
        <v>670000</v>
      </c>
      <c r="K22" s="1569"/>
      <c r="L22" s="1569"/>
      <c r="M22" s="1569"/>
    </row>
    <row r="23" spans="2:14">
      <c r="B23" s="269" t="s">
        <v>986</v>
      </c>
      <c r="C23" s="269">
        <f t="shared" si="0"/>
        <v>0.01</v>
      </c>
      <c r="D23" s="1579">
        <f t="shared" si="0"/>
        <v>0</v>
      </c>
      <c r="E23" s="1579">
        <f t="shared" si="0"/>
        <v>300000</v>
      </c>
      <c r="F23" s="1579">
        <f t="shared" si="0"/>
        <v>0</v>
      </c>
      <c r="G23" s="1567">
        <f>SUM(D23:E23)</f>
        <v>300000</v>
      </c>
      <c r="H23" s="1567">
        <f>SUM(D23,F23)</f>
        <v>0</v>
      </c>
      <c r="I23" s="1567">
        <f>SUM(E23:F23)</f>
        <v>300000</v>
      </c>
      <c r="J23" s="1579">
        <f>SUM(D23:F23)</f>
        <v>300000</v>
      </c>
      <c r="K23" s="1569"/>
      <c r="L23" s="1569"/>
      <c r="M23" s="1569"/>
    </row>
    <row r="24" spans="2:14">
      <c r="B24"/>
      <c r="C24" s="457"/>
      <c r="D24" s="269" t="s">
        <v>272</v>
      </c>
      <c r="E24" s="269" t="s">
        <v>2647</v>
      </c>
      <c r="F24" s="269" t="s">
        <v>2726</v>
      </c>
      <c r="G24" s="1565" t="str">
        <f>G18</f>
        <v>Sum of P,Q</v>
      </c>
      <c r="H24" s="1565" t="str">
        <f>H18</f>
        <v>Sum of P,R</v>
      </c>
      <c r="I24" s="1565" t="str">
        <f>I18</f>
        <v>Sum of Q,R</v>
      </c>
      <c r="J24" s="1565" t="str">
        <f>J18</f>
        <v>Sum of P,Q,R</v>
      </c>
    </row>
    <row r="25" spans="2:14">
      <c r="B25"/>
      <c r="C25" s="1523" t="s">
        <v>2728</v>
      </c>
      <c r="D25" s="266">
        <f>SUMPRODUCT($C$19:$C$23,D19:D23)</f>
        <v>11000</v>
      </c>
      <c r="E25" s="266">
        <f>SUMPRODUCT($C$19:$C$23,E19:E23)</f>
        <v>24400</v>
      </c>
      <c r="F25" s="266">
        <f>SUMPRODUCT($C$19:$C$23,F19:F23)</f>
        <v>23850</v>
      </c>
      <c r="G25" s="1564">
        <f>SUMPRODUCT($C$39:$C$43,G19:G23)</f>
        <v>35400</v>
      </c>
      <c r="H25" s="1564">
        <f>SUMPRODUCT($C$39:$C$43,H19:H23)</f>
        <v>34850</v>
      </c>
      <c r="I25" s="1564">
        <f>SUMPRODUCT($C$39:$C$43,I19:I23)</f>
        <v>48250</v>
      </c>
      <c r="J25" s="1578">
        <f>SUMPRODUCT($C$19:$C$23,J19:J23)</f>
        <v>59250</v>
      </c>
      <c r="K25" s="1569"/>
      <c r="L25" s="1569"/>
      <c r="M25" s="1569"/>
    </row>
    <row r="26" spans="2:14">
      <c r="B26"/>
      <c r="C26" s="1523" t="s">
        <v>2727</v>
      </c>
      <c r="D26" s="1578">
        <f>($C$19*D19^2)+($C$20*D20^2)+($C$21*D21^2)+($C$22*D22^2)+($C$23*D23^2)</f>
        <v>1300000000</v>
      </c>
      <c r="E26" s="1578">
        <f>($C$19*E19^2)+($C$20*E20^2)+($C$21*E21^2)+($C$22*E22^2)+($C$23*E23^2)</f>
        <v>4018000000</v>
      </c>
      <c r="F26" s="1578">
        <f>($C$19*F19^2)+($C$20*F20^2)+($C$21*F21^2)+($C$22*F22^2)+($C$23*F23^2)</f>
        <v>3544750000</v>
      </c>
      <c r="G26" s="1564">
        <f>($C$39*G19^2)+($C$40*G20^2)+($C$41*G21^2)+($C$42*G22^2)+($C$43*G23^2)</f>
        <v>7878000000</v>
      </c>
      <c r="H26" s="1564">
        <f>($C$39*H19^2)+($C$40*H20^2)+($C$41*H21^2)+($C$42*H22^2)+($C$43*H23^2)</f>
        <v>8534750000</v>
      </c>
      <c r="I26" s="1564">
        <f>($C$39*I19^2)+($C$40*I20^2)+($C$41*I21^2)+($C$42*I22^2)+($C$43*I23^2)</f>
        <v>13202750000</v>
      </c>
      <c r="J26" s="1578">
        <f>($C$19*J19^2)+($C$20*J20^2)+($C$21*J21^2)+($C$22*J22^2)+($C$23*J23^2)</f>
        <v>20752750000</v>
      </c>
    </row>
    <row r="27" spans="2:14">
      <c r="B27"/>
      <c r="C27" s="1523" t="s">
        <v>2613</v>
      </c>
      <c r="D27" s="1578">
        <f t="shared" ref="D27:J27" si="1">D26-D25^2</f>
        <v>1179000000</v>
      </c>
      <c r="E27" s="1578">
        <f t="shared" si="1"/>
        <v>3422640000</v>
      </c>
      <c r="F27" s="1578">
        <f t="shared" si="1"/>
        <v>2975927500</v>
      </c>
      <c r="G27" s="1564">
        <f t="shared" si="1"/>
        <v>6624840000</v>
      </c>
      <c r="H27" s="1564">
        <f t="shared" si="1"/>
        <v>7320227500</v>
      </c>
      <c r="I27" s="1564">
        <f t="shared" si="1"/>
        <v>10874687500</v>
      </c>
      <c r="J27" s="1578">
        <f t="shared" si="1"/>
        <v>17242187500</v>
      </c>
      <c r="K27" s="1569"/>
      <c r="L27" s="1569"/>
      <c r="M27" s="1569"/>
    </row>
    <row r="28" spans="2:14">
      <c r="B28"/>
      <c r="C28" s="1577"/>
      <c r="D28" s="1577"/>
      <c r="E28" s="1577"/>
      <c r="F28" s="1577"/>
      <c r="G28"/>
      <c r="H28"/>
    </row>
    <row r="29" spans="2:14">
      <c r="B29"/>
      <c r="C29" s="127"/>
      <c r="D29" s="1314" t="s">
        <v>272</v>
      </c>
      <c r="E29" s="1314" t="s">
        <v>2647</v>
      </c>
      <c r="F29" s="1314" t="s">
        <v>2726</v>
      </c>
      <c r="G29"/>
      <c r="H29"/>
      <c r="J29" s="1570"/>
      <c r="K29" s="1570"/>
      <c r="L29" s="1570"/>
      <c r="M29" s="1570"/>
    </row>
    <row r="30" spans="2:14">
      <c r="B30"/>
      <c r="C30" s="127" t="s">
        <v>2627</v>
      </c>
      <c r="D30" s="1573">
        <f>$J$27</f>
        <v>17242187500</v>
      </c>
      <c r="E30" s="1573">
        <f>$J$27</f>
        <v>17242187500</v>
      </c>
      <c r="F30" s="1573">
        <f>$J$27</f>
        <v>17242187500</v>
      </c>
      <c r="G30"/>
      <c r="H30"/>
      <c r="I30" s="1570"/>
      <c r="J30" s="1569"/>
      <c r="K30" s="1569"/>
      <c r="L30" s="1569"/>
      <c r="M30" s="1569"/>
    </row>
    <row r="31" spans="2:14" ht="28.8">
      <c r="B31"/>
      <c r="C31" s="1576" t="s">
        <v>2742</v>
      </c>
      <c r="D31" s="1573">
        <f>E27+F27+2*M20</f>
        <v>10874687500</v>
      </c>
      <c r="E31" s="1573">
        <f>D27+F27+2*M19</f>
        <v>7320227500</v>
      </c>
      <c r="F31" s="1573">
        <f>D27+E27+2*M18</f>
        <v>6624840000</v>
      </c>
      <c r="G31" s="1575"/>
      <c r="H31"/>
      <c r="I31" s="1574"/>
      <c r="J31" s="1569"/>
      <c r="K31" s="1569"/>
      <c r="L31" s="1569"/>
    </row>
    <row r="32" spans="2:14">
      <c r="B32"/>
      <c r="C32" s="127" t="s">
        <v>2625</v>
      </c>
      <c r="D32" s="1573">
        <f>D30-D31</f>
        <v>6367500000</v>
      </c>
      <c r="E32" s="1573">
        <f>E30-E31</f>
        <v>9921960000</v>
      </c>
      <c r="F32" s="1573">
        <f>F30-F31</f>
        <v>10617347500</v>
      </c>
      <c r="G32" s="1573"/>
      <c r="H32"/>
      <c r="I32" s="1570"/>
      <c r="J32" s="1569"/>
      <c r="K32" s="1569"/>
      <c r="L32" s="1569"/>
    </row>
    <row r="33" spans="1:28">
      <c r="B33"/>
      <c r="C33" s="1572" t="s">
        <v>2628</v>
      </c>
      <c r="D33" s="1571">
        <f>D32*$F$13</f>
        <v>1591.875</v>
      </c>
      <c r="E33" s="1571">
        <f>E32*$F$13</f>
        <v>2480.4899999999998</v>
      </c>
      <c r="F33" s="1571">
        <f>F32*$F$13</f>
        <v>2654.336875</v>
      </c>
      <c r="G33" s="1571"/>
      <c r="H33"/>
      <c r="I33" s="1570"/>
      <c r="J33" s="1569"/>
      <c r="K33" s="1569"/>
      <c r="L33" s="1569"/>
    </row>
    <row r="35" spans="1:28">
      <c r="A35" s="214" t="s">
        <v>9</v>
      </c>
      <c r="B35" s="1655" t="s">
        <v>2741</v>
      </c>
      <c r="C35" s="1655"/>
      <c r="D35" s="1655"/>
      <c r="E35" s="1655"/>
      <c r="F35" s="1655"/>
      <c r="G35" s="1655"/>
      <c r="H35" s="1655"/>
      <c r="I35" s="1655"/>
      <c r="J35" s="1655"/>
      <c r="K35" s="1655"/>
      <c r="L35" s="1655"/>
      <c r="M35" s="2"/>
    </row>
    <row r="36" spans="1:28" ht="16.2">
      <c r="A36" s="5"/>
      <c r="B36" s="5" t="s">
        <v>64</v>
      </c>
      <c r="C36" s="5"/>
      <c r="D36" s="4"/>
      <c r="E36" s="4"/>
      <c r="F36" s="4"/>
      <c r="G36" s="4"/>
      <c r="H36" s="3"/>
      <c r="I36" s="3"/>
      <c r="J36" s="2"/>
      <c r="K36" s="3"/>
      <c r="L36" s="2"/>
      <c r="M36" s="2"/>
    </row>
    <row r="37" spans="1:28">
      <c r="L37"/>
      <c r="M37"/>
      <c r="N37"/>
      <c r="O37"/>
      <c r="P37"/>
      <c r="Q37"/>
      <c r="R37"/>
      <c r="S37"/>
      <c r="T37"/>
      <c r="U37"/>
      <c r="V37"/>
      <c r="W37"/>
      <c r="X37"/>
      <c r="Y37"/>
      <c r="Z37"/>
      <c r="AA37"/>
      <c r="AB37"/>
    </row>
    <row r="38" spans="1:28">
      <c r="B38" s="1529" t="s">
        <v>1440</v>
      </c>
      <c r="C38" s="1529" t="s">
        <v>1952</v>
      </c>
      <c r="D38" s="1529" t="s">
        <v>2740</v>
      </c>
      <c r="E38" s="1529" t="s">
        <v>2739</v>
      </c>
      <c r="F38" s="1529" t="s">
        <v>2738</v>
      </c>
      <c r="G38" s="1529" t="s">
        <v>2737</v>
      </c>
      <c r="H38" s="1529" t="s">
        <v>2736</v>
      </c>
      <c r="I38" s="1529" t="s">
        <v>2735</v>
      </c>
      <c r="J38" s="1529" t="s">
        <v>2734</v>
      </c>
      <c r="K38" s="1558"/>
      <c r="L38" s="1516" t="s">
        <v>2733</v>
      </c>
      <c r="M38" s="1561">
        <f>(G47-D47-E47)/2</f>
        <v>1011600000</v>
      </c>
      <c r="N38"/>
      <c r="O38"/>
      <c r="P38"/>
      <c r="Q38"/>
      <c r="R38"/>
      <c r="S38"/>
      <c r="T38"/>
      <c r="U38"/>
      <c r="V38"/>
      <c r="W38"/>
      <c r="X38"/>
      <c r="Y38"/>
      <c r="Z38"/>
      <c r="AA38"/>
      <c r="AB38"/>
    </row>
    <row r="39" spans="1:28">
      <c r="B39" s="1529" t="s">
        <v>2732</v>
      </c>
      <c r="C39" s="1568">
        <f t="shared" ref="C39:F43" si="2">C19</f>
        <v>0.08</v>
      </c>
      <c r="D39" s="1567">
        <f t="shared" si="2"/>
        <v>50000</v>
      </c>
      <c r="E39" s="1567">
        <f t="shared" si="2"/>
        <v>100000</v>
      </c>
      <c r="F39" s="1567">
        <f t="shared" si="2"/>
        <v>80000</v>
      </c>
      <c r="G39" s="1567">
        <f>SUM(D39:E39)</f>
        <v>150000</v>
      </c>
      <c r="H39" s="1567">
        <f>SUM(D39,F39)</f>
        <v>130000</v>
      </c>
      <c r="I39" s="1567">
        <f>SUM(E39:F39)</f>
        <v>180000</v>
      </c>
      <c r="J39" s="1567">
        <f>SUM(D39:F39)</f>
        <v>230000</v>
      </c>
      <c r="K39" s="1558"/>
      <c r="L39" s="1516" t="s">
        <v>2731</v>
      </c>
      <c r="M39" s="1561">
        <f>(H47-D47-F47)/2</f>
        <v>1582650000</v>
      </c>
      <c r="N39"/>
      <c r="O39"/>
      <c r="P39"/>
      <c r="Q39"/>
      <c r="R39"/>
      <c r="S39"/>
      <c r="T39"/>
      <c r="U39"/>
      <c r="V39"/>
      <c r="W39"/>
      <c r="X39"/>
      <c r="Y39"/>
      <c r="Z39"/>
      <c r="AA39"/>
      <c r="AB39"/>
    </row>
    <row r="40" spans="1:28">
      <c r="B40" s="1529" t="s">
        <v>2730</v>
      </c>
      <c r="C40" s="1529">
        <f t="shared" si="2"/>
        <v>0.06</v>
      </c>
      <c r="D40" s="1567">
        <f t="shared" si="2"/>
        <v>0</v>
      </c>
      <c r="E40" s="1567">
        <f t="shared" si="2"/>
        <v>150000</v>
      </c>
      <c r="F40" s="1567">
        <f t="shared" si="2"/>
        <v>120000</v>
      </c>
      <c r="G40" s="1567">
        <f>SUM(D40:E40)</f>
        <v>150000</v>
      </c>
      <c r="H40" s="1567">
        <f>SUM(D40,F40)</f>
        <v>120000</v>
      </c>
      <c r="I40" s="1567">
        <f>SUM(E40:F40)</f>
        <v>270000</v>
      </c>
      <c r="J40" s="1567">
        <f>SUM(D40:F40)</f>
        <v>270000</v>
      </c>
      <c r="K40" s="1558"/>
      <c r="L40" s="1516" t="s">
        <v>2729</v>
      </c>
      <c r="M40" s="1561">
        <f>(I47-E47-F47)/2</f>
        <v>2238060000</v>
      </c>
      <c r="N40"/>
      <c r="O40"/>
      <c r="P40"/>
      <c r="Q40"/>
      <c r="R40"/>
      <c r="S40"/>
      <c r="T40"/>
      <c r="U40"/>
      <c r="V40"/>
      <c r="W40"/>
      <c r="X40"/>
      <c r="Y40"/>
      <c r="Z40"/>
      <c r="AA40"/>
      <c r="AB40"/>
    </row>
    <row r="41" spans="1:28">
      <c r="B41" s="1529" t="s">
        <v>988</v>
      </c>
      <c r="C41" s="1529">
        <f t="shared" si="2"/>
        <v>0.03</v>
      </c>
      <c r="D41" s="1567">
        <f t="shared" si="2"/>
        <v>100000</v>
      </c>
      <c r="E41" s="1567">
        <f t="shared" si="2"/>
        <v>0</v>
      </c>
      <c r="F41" s="1567">
        <f t="shared" si="2"/>
        <v>175000</v>
      </c>
      <c r="G41" s="1567">
        <f>SUM(D41:E41)</f>
        <v>100000</v>
      </c>
      <c r="H41" s="1567">
        <f>SUM(D41,F41)</f>
        <v>275000</v>
      </c>
      <c r="I41" s="1567">
        <f>SUM(E41:F41)</f>
        <v>175000</v>
      </c>
      <c r="J41" s="1567">
        <f>SUM(D41:F41)</f>
        <v>275000</v>
      </c>
      <c r="K41" s="1558"/>
      <c r="L41"/>
      <c r="M41"/>
      <c r="N41"/>
      <c r="O41"/>
      <c r="P41"/>
      <c r="Q41"/>
      <c r="R41"/>
      <c r="S41"/>
      <c r="T41"/>
      <c r="U41"/>
      <c r="V41"/>
      <c r="W41"/>
      <c r="X41"/>
      <c r="Y41"/>
      <c r="Z41"/>
      <c r="AA41"/>
      <c r="AB41"/>
    </row>
    <row r="42" spans="1:28">
      <c r="B42" s="1529" t="s">
        <v>987</v>
      </c>
      <c r="C42" s="1529">
        <f t="shared" si="2"/>
        <v>0.02</v>
      </c>
      <c r="D42" s="1567">
        <f t="shared" si="2"/>
        <v>200000</v>
      </c>
      <c r="E42" s="1567">
        <f t="shared" si="2"/>
        <v>220000</v>
      </c>
      <c r="F42" s="1567">
        <f t="shared" si="2"/>
        <v>250000</v>
      </c>
      <c r="G42" s="1567">
        <f>SUM(D42:E42)</f>
        <v>420000</v>
      </c>
      <c r="H42" s="1567">
        <f>SUM(D42,F42)</f>
        <v>450000</v>
      </c>
      <c r="I42" s="1567">
        <f>SUM(E42:F42)</f>
        <v>470000</v>
      </c>
      <c r="J42" s="1567">
        <f>SUM(D42:F42)</f>
        <v>670000</v>
      </c>
      <c r="K42" s="1558"/>
      <c r="L42"/>
      <c r="M42"/>
      <c r="N42"/>
      <c r="O42"/>
      <c r="P42"/>
      <c r="Q42"/>
      <c r="R42"/>
      <c r="S42"/>
      <c r="T42"/>
      <c r="U42"/>
      <c r="V42"/>
      <c r="W42"/>
      <c r="X42"/>
      <c r="Y42"/>
      <c r="Z42"/>
      <c r="AA42"/>
      <c r="AB42"/>
    </row>
    <row r="43" spans="1:28">
      <c r="B43" s="1529" t="s">
        <v>986</v>
      </c>
      <c r="C43" s="1529">
        <f t="shared" si="2"/>
        <v>0.01</v>
      </c>
      <c r="D43" s="1567">
        <f t="shared" si="2"/>
        <v>0</v>
      </c>
      <c r="E43" s="1567">
        <f t="shared" si="2"/>
        <v>300000</v>
      </c>
      <c r="F43" s="1567">
        <f t="shared" si="2"/>
        <v>0</v>
      </c>
      <c r="G43" s="1567">
        <f>SUM(D43:E43)</f>
        <v>300000</v>
      </c>
      <c r="H43" s="1567">
        <f>SUM(D43,F43)</f>
        <v>0</v>
      </c>
      <c r="I43" s="1567">
        <f>SUM(E43:F43)</f>
        <v>300000</v>
      </c>
      <c r="J43" s="1567">
        <f>SUM(D43:F43)</f>
        <v>300000</v>
      </c>
      <c r="K43" s="1558"/>
      <c r="L43"/>
      <c r="M43"/>
      <c r="N43"/>
      <c r="O43"/>
      <c r="P43"/>
      <c r="Q43"/>
      <c r="R43"/>
      <c r="S43"/>
      <c r="T43"/>
      <c r="U43"/>
      <c r="V43"/>
      <c r="W43"/>
      <c r="X43"/>
      <c r="Y43"/>
      <c r="Z43"/>
      <c r="AA43"/>
      <c r="AB43"/>
    </row>
    <row r="44" spans="1:28">
      <c r="B44" s="1558"/>
      <c r="C44" s="1516"/>
      <c r="D44" s="1566" t="s">
        <v>272</v>
      </c>
      <c r="E44" s="1566" t="s">
        <v>2647</v>
      </c>
      <c r="F44" s="1566" t="s">
        <v>2726</v>
      </c>
      <c r="G44" s="1565" t="str">
        <f>G38</f>
        <v>Sum of P,Q</v>
      </c>
      <c r="H44" s="1565" t="str">
        <f>H38</f>
        <v>Sum of P,R</v>
      </c>
      <c r="I44" s="1565" t="str">
        <f>I38</f>
        <v>Sum of Q,R</v>
      </c>
      <c r="J44" s="1565" t="str">
        <f>J38</f>
        <v>Sum of P,Q,R</v>
      </c>
      <c r="K44" s="1558"/>
      <c r="L44"/>
      <c r="M44"/>
      <c r="N44"/>
      <c r="O44"/>
      <c r="P44"/>
      <c r="Q44"/>
      <c r="R44"/>
      <c r="S44"/>
      <c r="T44"/>
      <c r="U44"/>
      <c r="V44"/>
      <c r="W44"/>
      <c r="X44"/>
      <c r="Y44"/>
      <c r="Z44"/>
      <c r="AA44"/>
      <c r="AB44"/>
    </row>
    <row r="45" spans="1:28">
      <c r="B45" s="1558"/>
      <c r="C45" s="1516" t="s">
        <v>2728</v>
      </c>
      <c r="D45" s="1564">
        <f t="shared" ref="D45:J45" si="3">SUMPRODUCT($C$39:$C$43,D39:D43)</f>
        <v>11000</v>
      </c>
      <c r="E45" s="1564">
        <f t="shared" si="3"/>
        <v>24400</v>
      </c>
      <c r="F45" s="1564">
        <f t="shared" si="3"/>
        <v>23850</v>
      </c>
      <c r="G45" s="1564">
        <f t="shared" si="3"/>
        <v>35400</v>
      </c>
      <c r="H45" s="1564">
        <f t="shared" si="3"/>
        <v>34850</v>
      </c>
      <c r="I45" s="1564">
        <f t="shared" si="3"/>
        <v>48250</v>
      </c>
      <c r="J45" s="1564">
        <f t="shared" si="3"/>
        <v>59250</v>
      </c>
      <c r="K45" s="1558"/>
      <c r="L45"/>
      <c r="M45"/>
      <c r="N45"/>
      <c r="O45"/>
      <c r="P45"/>
      <c r="Q45"/>
      <c r="R45"/>
      <c r="S45"/>
      <c r="T45"/>
      <c r="U45"/>
      <c r="V45"/>
      <c r="W45"/>
      <c r="X45"/>
      <c r="Y45"/>
      <c r="Z45"/>
      <c r="AA45"/>
      <c r="AB45"/>
    </row>
    <row r="46" spans="1:28">
      <c r="B46" s="1558"/>
      <c r="C46" s="1516" t="s">
        <v>2727</v>
      </c>
      <c r="D46" s="1564">
        <f t="shared" ref="D46:J46" si="4">($C$39*D39^2)+($C$40*D40^2)+($C$41*D41^2)+($C$42*D42^2)+($C$43*D43^2)</f>
        <v>1300000000</v>
      </c>
      <c r="E46" s="1564">
        <f t="shared" si="4"/>
        <v>4018000000</v>
      </c>
      <c r="F46" s="1564">
        <f t="shared" si="4"/>
        <v>3544750000</v>
      </c>
      <c r="G46" s="1564">
        <f t="shared" si="4"/>
        <v>7878000000</v>
      </c>
      <c r="H46" s="1564">
        <f t="shared" si="4"/>
        <v>8534750000</v>
      </c>
      <c r="I46" s="1564">
        <f t="shared" si="4"/>
        <v>13202750000</v>
      </c>
      <c r="J46" s="1564">
        <f t="shared" si="4"/>
        <v>20752750000</v>
      </c>
      <c r="K46" s="1558"/>
      <c r="L46"/>
      <c r="M46"/>
      <c r="N46"/>
      <c r="O46"/>
      <c r="P46"/>
      <c r="Q46"/>
      <c r="R46"/>
      <c r="S46"/>
      <c r="T46"/>
      <c r="U46"/>
      <c r="V46"/>
      <c r="W46"/>
      <c r="X46"/>
      <c r="Y46"/>
      <c r="Z46"/>
      <c r="AA46"/>
      <c r="AB46"/>
    </row>
    <row r="47" spans="1:28">
      <c r="B47" s="1558"/>
      <c r="C47" s="1516" t="s">
        <v>2613</v>
      </c>
      <c r="D47" s="1564">
        <f t="shared" ref="D47:J47" si="5">D46-D45^2</f>
        <v>1179000000</v>
      </c>
      <c r="E47" s="1564">
        <f t="shared" si="5"/>
        <v>3422640000</v>
      </c>
      <c r="F47" s="1564">
        <f t="shared" si="5"/>
        <v>2975927500</v>
      </c>
      <c r="G47" s="1564">
        <f t="shared" si="5"/>
        <v>6624840000</v>
      </c>
      <c r="H47" s="1564">
        <f t="shared" si="5"/>
        <v>7320227500</v>
      </c>
      <c r="I47" s="1564">
        <f t="shared" si="5"/>
        <v>10874687500</v>
      </c>
      <c r="J47" s="1564">
        <f t="shared" si="5"/>
        <v>17242187500</v>
      </c>
      <c r="K47" s="1563"/>
      <c r="L47"/>
      <c r="M47"/>
      <c r="N47"/>
      <c r="O47"/>
      <c r="P47"/>
      <c r="Q47"/>
      <c r="R47"/>
      <c r="S47"/>
      <c r="T47"/>
      <c r="U47"/>
      <c r="V47"/>
      <c r="W47"/>
      <c r="X47"/>
      <c r="Y47"/>
      <c r="Z47"/>
      <c r="AA47"/>
      <c r="AB47"/>
    </row>
    <row r="48" spans="1:28">
      <c r="B48" s="1558"/>
      <c r="C48" s="1558"/>
      <c r="D48" s="1558"/>
      <c r="E48" s="1558"/>
      <c r="F48" s="1558"/>
      <c r="G48" s="1558"/>
      <c r="H48" s="1558"/>
      <c r="I48" s="1558"/>
      <c r="J48" s="1558"/>
      <c r="K48" s="1558"/>
      <c r="L48"/>
      <c r="M48"/>
      <c r="N48"/>
      <c r="O48"/>
      <c r="P48"/>
      <c r="Q48"/>
      <c r="R48"/>
      <c r="S48"/>
      <c r="T48"/>
      <c r="U48"/>
      <c r="V48"/>
      <c r="W48"/>
      <c r="X48"/>
      <c r="Y48"/>
      <c r="Z48"/>
      <c r="AA48"/>
      <c r="AB48"/>
    </row>
    <row r="49" spans="1:28">
      <c r="B49" s="1516" t="s">
        <v>2701</v>
      </c>
      <c r="C49" s="1529" t="s">
        <v>272</v>
      </c>
      <c r="D49" s="1561">
        <f>D47+M38+M39</f>
        <v>3773250000</v>
      </c>
      <c r="E49" s="1558"/>
      <c r="I49" s="1558"/>
      <c r="J49" s="1562"/>
      <c r="K49" s="1558"/>
      <c r="L49"/>
      <c r="M49"/>
      <c r="N49"/>
      <c r="O49"/>
      <c r="P49"/>
      <c r="Q49"/>
      <c r="R49"/>
      <c r="S49"/>
      <c r="T49"/>
      <c r="U49"/>
      <c r="V49"/>
      <c r="W49"/>
      <c r="X49"/>
      <c r="Y49"/>
      <c r="Z49"/>
      <c r="AA49"/>
      <c r="AB49"/>
    </row>
    <row r="50" spans="1:28">
      <c r="B50" s="1516" t="s">
        <v>2701</v>
      </c>
      <c r="C50" s="1529" t="s">
        <v>2647</v>
      </c>
      <c r="D50" s="1561">
        <f>E47+M38+M40</f>
        <v>6672300000</v>
      </c>
      <c r="E50" s="1558"/>
      <c r="I50" s="1558"/>
      <c r="J50" s="1558"/>
      <c r="K50" s="1558"/>
      <c r="L50"/>
      <c r="M50"/>
      <c r="N50"/>
      <c r="O50"/>
      <c r="P50"/>
      <c r="Q50"/>
      <c r="R50"/>
      <c r="S50"/>
      <c r="T50"/>
      <c r="U50"/>
      <c r="V50"/>
      <c r="W50"/>
      <c r="X50"/>
      <c r="Y50"/>
      <c r="Z50"/>
      <c r="AA50"/>
      <c r="AB50"/>
    </row>
    <row r="51" spans="1:28">
      <c r="B51" s="1516" t="s">
        <v>2701</v>
      </c>
      <c r="C51" s="1529" t="s">
        <v>2726</v>
      </c>
      <c r="D51" s="1561">
        <f>F47+M39+M40</f>
        <v>6796637500</v>
      </c>
      <c r="E51" s="1558"/>
      <c r="I51" s="1558"/>
      <c r="J51" s="1558"/>
      <c r="K51" s="1558"/>
      <c r="L51"/>
      <c r="M51"/>
      <c r="N51"/>
      <c r="O51"/>
      <c r="P51"/>
      <c r="Q51"/>
      <c r="R51"/>
      <c r="S51"/>
      <c r="T51"/>
      <c r="U51"/>
      <c r="V51"/>
      <c r="W51"/>
      <c r="X51"/>
      <c r="Y51"/>
      <c r="Z51"/>
      <c r="AA51"/>
      <c r="AB51"/>
    </row>
    <row r="52" spans="1:28">
      <c r="B52" s="1558"/>
      <c r="C52" s="1558"/>
      <c r="D52" s="1559"/>
      <c r="E52" s="1558"/>
      <c r="F52" s="1558"/>
      <c r="G52" s="1558"/>
      <c r="H52" s="1559"/>
      <c r="I52" s="1558"/>
      <c r="J52" s="1558"/>
      <c r="K52" s="1558"/>
      <c r="L52"/>
      <c r="M52"/>
      <c r="N52"/>
      <c r="O52"/>
    </row>
    <row r="53" spans="1:28">
      <c r="B53" s="1516" t="s">
        <v>2688</v>
      </c>
      <c r="C53" s="1529" t="s">
        <v>272</v>
      </c>
      <c r="D53" s="1560">
        <f>D49*$F$13</f>
        <v>943.3125</v>
      </c>
      <c r="E53" s="1558"/>
      <c r="F53" s="1558"/>
      <c r="G53" s="1558"/>
      <c r="H53" s="1558"/>
      <c r="I53" s="1558"/>
      <c r="J53" s="1558"/>
      <c r="K53" s="1558"/>
      <c r="L53"/>
      <c r="M53"/>
      <c r="N53"/>
      <c r="O53"/>
    </row>
    <row r="54" spans="1:28">
      <c r="B54" s="1516" t="s">
        <v>2688</v>
      </c>
      <c r="C54" s="1529" t="s">
        <v>2647</v>
      </c>
      <c r="D54" s="1560">
        <f>D50*$F$13</f>
        <v>1668.0749999999998</v>
      </c>
      <c r="E54" s="1558"/>
      <c r="F54" s="1558"/>
      <c r="G54" s="1558"/>
      <c r="H54" s="1558"/>
      <c r="I54" s="1558"/>
      <c r="J54" s="1558"/>
      <c r="K54" s="1558"/>
      <c r="L54"/>
      <c r="M54"/>
      <c r="N54"/>
      <c r="O54"/>
    </row>
    <row r="55" spans="1:28">
      <c r="B55" s="1516" t="s">
        <v>2688</v>
      </c>
      <c r="C55" s="1529" t="s">
        <v>2726</v>
      </c>
      <c r="D55" s="1560">
        <f>D51*$F$13</f>
        <v>1699.159375</v>
      </c>
      <c r="E55" s="1558"/>
      <c r="F55" s="1558"/>
      <c r="G55" s="1558"/>
      <c r="H55" s="1558"/>
      <c r="I55" s="1558"/>
      <c r="J55" s="1558"/>
      <c r="K55" s="1558"/>
      <c r="L55"/>
      <c r="M55"/>
      <c r="N55"/>
      <c r="O55"/>
    </row>
    <row r="56" spans="1:28">
      <c r="B56" s="1558"/>
      <c r="C56" s="1558"/>
      <c r="D56" s="1559"/>
      <c r="E56" s="1558"/>
      <c r="F56" s="1558"/>
      <c r="G56" s="1558"/>
      <c r="H56" s="1558"/>
      <c r="I56" s="1558"/>
      <c r="J56" s="1558"/>
      <c r="K56" s="1558"/>
      <c r="L56" s="1558"/>
    </row>
    <row r="58" spans="1:28">
      <c r="A58" s="3" t="s">
        <v>2725</v>
      </c>
      <c r="B58" s="3"/>
      <c r="C58" s="3"/>
      <c r="D58" s="3"/>
      <c r="E58" s="3"/>
      <c r="F58" s="3"/>
      <c r="G58" s="3"/>
      <c r="H58" s="3"/>
      <c r="I58" s="3"/>
      <c r="J58" s="3"/>
      <c r="K58" s="3"/>
      <c r="L58" s="3"/>
      <c r="M58" s="2"/>
    </row>
    <row r="59" spans="1:28">
      <c r="A59" s="3"/>
      <c r="B59" s="3"/>
      <c r="C59" s="3"/>
      <c r="D59" s="3"/>
      <c r="E59" s="3"/>
      <c r="F59" s="3"/>
      <c r="G59" s="3"/>
      <c r="H59" s="3"/>
      <c r="I59" s="3"/>
      <c r="J59" s="3"/>
      <c r="K59" s="3"/>
      <c r="L59" s="3"/>
      <c r="M59" s="2"/>
    </row>
    <row r="60" spans="1:28">
      <c r="A60" s="214" t="s">
        <v>7</v>
      </c>
      <c r="B60" s="1655" t="s">
        <v>2724</v>
      </c>
      <c r="C60" s="1655"/>
      <c r="D60" s="1655"/>
      <c r="E60" s="1655"/>
      <c r="F60" s="1655"/>
      <c r="G60" s="1655"/>
      <c r="H60" s="1655"/>
      <c r="I60" s="1655"/>
      <c r="J60" s="1655"/>
      <c r="K60" s="1655"/>
      <c r="L60" s="1655"/>
      <c r="M60" s="2"/>
    </row>
    <row r="61" spans="1:28" ht="16.2">
      <c r="A61" s="5"/>
      <c r="B61" s="5" t="s">
        <v>64</v>
      </c>
      <c r="C61" s="5"/>
      <c r="D61" s="4"/>
      <c r="E61" s="4"/>
      <c r="F61" s="4"/>
      <c r="G61" s="4"/>
      <c r="H61" s="3"/>
      <c r="I61" s="3"/>
      <c r="J61" s="2"/>
      <c r="K61" s="3"/>
      <c r="L61" s="2"/>
      <c r="M61" s="2"/>
    </row>
    <row r="62" spans="1:28">
      <c r="A62" s="37"/>
      <c r="B62" s="37"/>
      <c r="C62" s="37"/>
      <c r="D62" s="37"/>
      <c r="E62" s="37"/>
      <c r="F62" s="37"/>
      <c r="G62" s="37"/>
      <c r="H62" s="37"/>
      <c r="I62" s="37"/>
      <c r="J62" s="37"/>
      <c r="K62" s="37"/>
      <c r="L62" s="37"/>
    </row>
    <row r="63" spans="1:28">
      <c r="B63" s="1909" t="s">
        <v>2723</v>
      </c>
      <c r="C63" s="1909"/>
      <c r="D63" s="1909"/>
      <c r="E63" s="1909"/>
      <c r="F63" s="1909"/>
      <c r="G63" s="1909"/>
      <c r="H63" s="1909"/>
      <c r="I63" s="1909"/>
      <c r="J63" s="1909"/>
      <c r="K63" s="1909"/>
    </row>
    <row r="69" spans="1:12">
      <c r="A69" s="37"/>
      <c r="B69" s="37"/>
      <c r="C69" s="37"/>
      <c r="D69" s="37"/>
      <c r="E69" s="37"/>
      <c r="F69" s="37"/>
      <c r="G69" s="37"/>
      <c r="H69" s="37"/>
      <c r="I69" s="37"/>
      <c r="J69" s="37"/>
      <c r="K69" s="37"/>
      <c r="L69" s="37"/>
    </row>
    <row r="70" spans="1:12">
      <c r="A70" s="37"/>
      <c r="B70" s="37"/>
      <c r="C70" s="37"/>
      <c r="D70" s="37"/>
      <c r="E70" s="37"/>
      <c r="F70" s="37"/>
      <c r="G70" s="37"/>
      <c r="H70" s="37"/>
      <c r="I70" s="37"/>
      <c r="J70" s="37"/>
      <c r="K70" s="37"/>
      <c r="L70" s="37"/>
    </row>
    <row r="71" spans="1:12">
      <c r="A71" s="37"/>
      <c r="B71" s="37"/>
      <c r="C71" s="37"/>
      <c r="D71" s="37"/>
      <c r="E71" s="37"/>
      <c r="F71" s="37"/>
      <c r="G71" s="37"/>
      <c r="H71" s="37"/>
      <c r="I71" s="37"/>
      <c r="J71" s="37"/>
      <c r="K71" s="37"/>
      <c r="L71" s="37"/>
    </row>
    <row r="72" spans="1:12">
      <c r="A72" s="37"/>
      <c r="B72" s="37"/>
      <c r="C72" s="37"/>
      <c r="D72" s="37"/>
      <c r="E72" s="37"/>
      <c r="F72" s="37"/>
      <c r="G72" s="37"/>
      <c r="H72" s="37"/>
      <c r="I72" s="37"/>
      <c r="J72" s="37"/>
      <c r="K72" s="37"/>
      <c r="L72" s="37"/>
    </row>
    <row r="73" spans="1:12">
      <c r="A73" s="37"/>
      <c r="B73" s="37"/>
      <c r="C73" s="37"/>
      <c r="D73" s="37"/>
      <c r="E73" s="37"/>
      <c r="F73" s="37"/>
      <c r="G73" s="37"/>
      <c r="H73" s="37"/>
      <c r="I73" s="37"/>
      <c r="J73" s="37"/>
      <c r="K73" s="37"/>
      <c r="L73" s="37"/>
    </row>
    <row r="74" spans="1:12">
      <c r="A74" s="1557"/>
      <c r="B74" s="37"/>
      <c r="C74" s="37"/>
      <c r="D74" s="37"/>
      <c r="E74" s="37"/>
      <c r="F74" s="37"/>
      <c r="G74" s="37"/>
      <c r="H74" s="37"/>
      <c r="I74" s="37"/>
      <c r="J74" s="37"/>
      <c r="K74" s="37"/>
      <c r="L74" s="37"/>
    </row>
    <row r="75" spans="1:12">
      <c r="A75" s="1557"/>
      <c r="B75" s="37"/>
      <c r="C75" s="37"/>
      <c r="D75" s="37"/>
      <c r="E75" s="37"/>
      <c r="F75" s="37"/>
      <c r="G75" s="37"/>
      <c r="H75" s="37"/>
      <c r="I75" s="37"/>
      <c r="J75" s="37"/>
      <c r="K75" s="37"/>
      <c r="L75" s="37"/>
    </row>
    <row r="76" spans="1:12">
      <c r="A76" s="37"/>
      <c r="B76" s="37"/>
      <c r="C76" s="37"/>
      <c r="D76" s="37"/>
      <c r="E76" s="37"/>
      <c r="F76" s="37"/>
      <c r="G76" s="37"/>
      <c r="H76" s="37"/>
      <c r="I76" s="37"/>
      <c r="J76" s="37"/>
      <c r="K76" s="37"/>
      <c r="L76" s="37"/>
    </row>
    <row r="77" spans="1:12" ht="15.75" customHeight="1">
      <c r="A77" s="37"/>
      <c r="B77" s="37"/>
      <c r="C77" s="37"/>
      <c r="D77" s="37"/>
      <c r="E77" s="37"/>
      <c r="F77" s="37"/>
      <c r="G77" s="37"/>
      <c r="H77" s="37"/>
      <c r="I77" s="37"/>
      <c r="J77" s="37"/>
      <c r="K77" s="37"/>
      <c r="L77" s="37"/>
    </row>
    <row r="78" spans="1:12" ht="15.75" customHeight="1">
      <c r="A78" s="37"/>
      <c r="B78" s="37"/>
      <c r="C78" s="37"/>
      <c r="D78" s="37"/>
      <c r="E78" s="37"/>
      <c r="F78" s="37"/>
      <c r="G78" s="37"/>
      <c r="H78" s="37"/>
      <c r="I78" s="37"/>
      <c r="J78" s="37"/>
      <c r="K78" s="37"/>
      <c r="L78" s="37"/>
    </row>
    <row r="79" spans="1:12" ht="15.75" customHeight="1">
      <c r="A79" s="37"/>
      <c r="B79" s="37"/>
      <c r="C79" s="37"/>
      <c r="D79" s="37"/>
      <c r="E79" s="37"/>
      <c r="F79" s="37"/>
      <c r="G79" s="37"/>
      <c r="H79" s="37"/>
      <c r="I79" s="37"/>
      <c r="J79" s="37"/>
      <c r="K79" s="37"/>
      <c r="L79" s="37"/>
    </row>
    <row r="80" spans="1:12" ht="15.75" customHeight="1">
      <c r="A80" s="37"/>
      <c r="B80" s="37"/>
      <c r="C80" s="37"/>
      <c r="D80" s="37"/>
      <c r="E80" s="37"/>
      <c r="F80" s="37"/>
      <c r="G80" s="37"/>
      <c r="H80" s="37"/>
      <c r="I80" s="37"/>
      <c r="J80" s="37"/>
      <c r="K80" s="37"/>
      <c r="L80" s="37"/>
    </row>
    <row r="81" spans="1:12" ht="15.75" customHeight="1">
      <c r="A81" s="37"/>
      <c r="B81" s="37"/>
      <c r="C81" s="37"/>
      <c r="D81" s="37"/>
      <c r="E81" s="37"/>
      <c r="F81" s="37"/>
      <c r="G81" s="37"/>
      <c r="H81" s="37"/>
      <c r="I81" s="37"/>
      <c r="J81" s="37"/>
      <c r="K81" s="37"/>
      <c r="L81" s="37"/>
    </row>
    <row r="82" spans="1:12" ht="15.75" customHeight="1">
      <c r="A82" s="37"/>
      <c r="B82" s="37"/>
      <c r="C82" s="37"/>
      <c r="D82" s="37"/>
      <c r="E82" s="37"/>
      <c r="F82" s="37"/>
      <c r="G82" s="37"/>
      <c r="H82" s="37"/>
      <c r="I82" s="37"/>
      <c r="J82" s="37"/>
      <c r="K82" s="37"/>
      <c r="L82" s="37"/>
    </row>
    <row r="83" spans="1:12" ht="15.75" customHeight="1"/>
    <row r="84" spans="1:12" ht="15.75" customHeight="1"/>
    <row r="85" spans="1:12" ht="15.75" customHeight="1"/>
    <row r="86" spans="1:12" ht="15.75" customHeight="1"/>
    <row r="87" spans="1:12" ht="15.75" customHeight="1"/>
    <row r="88" spans="1:12" ht="15.75" customHeight="1"/>
    <row r="89" spans="1:12" ht="15.75" customHeight="1"/>
    <row r="90" spans="1:12" ht="15.75" customHeight="1"/>
    <row r="91" spans="1:12" ht="15.75" customHeight="1"/>
    <row r="92" spans="1:12" ht="15.75" customHeight="1"/>
    <row r="93" spans="1:12" ht="15.75" customHeight="1"/>
    <row r="94" spans="1:12" ht="15.75" customHeight="1"/>
    <row r="95" spans="1:12" ht="15.75" customHeight="1"/>
  </sheetData>
  <mergeCells count="5">
    <mergeCell ref="B15:L15"/>
    <mergeCell ref="B35:L35"/>
    <mergeCell ref="B60:L60"/>
    <mergeCell ref="A3:L3"/>
    <mergeCell ref="B63:K63"/>
  </mergeCell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CF72A-F94D-471A-8188-C52CB1DF9464}">
  <dimension ref="A1:AN80"/>
  <sheetViews>
    <sheetView zoomScaleNormal="100" workbookViewId="0"/>
  </sheetViews>
  <sheetFormatPr defaultColWidth="9.109375" defaultRowHeight="15.6"/>
  <cols>
    <col min="1" max="7" width="14.6640625" style="1" customWidth="1"/>
    <col min="8" max="8" width="13.6640625" style="1" bestFit="1" customWidth="1"/>
    <col min="9" max="10" width="14.6640625" style="1" bestFit="1" customWidth="1"/>
    <col min="11" max="13" width="13.44140625" style="1" bestFit="1" customWidth="1"/>
    <col min="14" max="14" width="13.6640625" style="1" bestFit="1" customWidth="1"/>
    <col min="15" max="17" width="12.33203125" style="1" bestFit="1" customWidth="1"/>
    <col min="18" max="18" width="13.6640625" style="1" bestFit="1" customWidth="1"/>
    <col min="19" max="20" width="12.33203125" style="1" bestFit="1" customWidth="1"/>
    <col min="21" max="23" width="9.109375" style="1"/>
    <col min="24" max="24" width="12.44140625" style="1" bestFit="1" customWidth="1"/>
    <col min="25" max="26" width="12.33203125" style="1" bestFit="1" customWidth="1"/>
    <col min="27" max="16384" width="9.109375" style="1"/>
  </cols>
  <sheetData>
    <row r="1" spans="1:13" ht="15.75" customHeight="1">
      <c r="A1" s="23" t="s">
        <v>1201</v>
      </c>
      <c r="B1" s="22"/>
      <c r="C1" s="5" t="s">
        <v>38</v>
      </c>
      <c r="D1" s="22"/>
      <c r="E1" s="22"/>
      <c r="F1" s="22"/>
      <c r="G1" s="22"/>
      <c r="H1" s="22"/>
      <c r="I1" s="22"/>
      <c r="J1" s="22"/>
      <c r="K1" s="22"/>
      <c r="L1" s="2"/>
      <c r="M1" s="136"/>
    </row>
    <row r="2" spans="1:13" ht="15.75" customHeight="1">
      <c r="A2" s="21"/>
      <c r="B2" s="21"/>
      <c r="C2" s="21"/>
      <c r="D2" s="21"/>
      <c r="E2" s="21"/>
      <c r="F2" s="21"/>
      <c r="G2" s="21"/>
      <c r="H2" s="21"/>
      <c r="I2" s="21"/>
      <c r="J2" s="21"/>
      <c r="K2" s="21"/>
      <c r="L2" s="2"/>
      <c r="M2" s="136"/>
    </row>
    <row r="3" spans="1:13">
      <c r="A3" s="1655" t="s">
        <v>2773</v>
      </c>
      <c r="B3" s="1655"/>
      <c r="C3" s="1655"/>
      <c r="D3" s="1655"/>
      <c r="E3" s="1655"/>
      <c r="F3" s="1655"/>
      <c r="G3" s="1655"/>
      <c r="H3" s="1655"/>
      <c r="I3" s="1655"/>
      <c r="J3" s="1655"/>
      <c r="K3" s="1655"/>
      <c r="L3" s="1655"/>
      <c r="M3" s="136"/>
    </row>
    <row r="4" spans="1:13">
      <c r="A4" s="45"/>
      <c r="B4" s="45"/>
      <c r="C4" s="45"/>
      <c r="D4" s="45"/>
      <c r="E4" s="45"/>
      <c r="F4" s="45"/>
      <c r="G4" s="45"/>
      <c r="H4" s="45"/>
      <c r="I4" s="45"/>
      <c r="J4" s="45"/>
      <c r="K4" s="45"/>
      <c r="L4" s="45"/>
      <c r="M4" s="136"/>
    </row>
    <row r="5" spans="1:13">
      <c r="A5" s="214" t="s">
        <v>1254</v>
      </c>
      <c r="B5" s="45"/>
      <c r="C5" s="45"/>
      <c r="D5" s="45"/>
      <c r="E5" s="45"/>
      <c r="F5" s="45"/>
      <c r="G5" s="45"/>
      <c r="H5" s="45"/>
      <c r="I5" s="45"/>
      <c r="J5" s="45"/>
      <c r="K5" s="45"/>
      <c r="L5" s="45"/>
      <c r="M5" s="136"/>
    </row>
    <row r="6" spans="1:13">
      <c r="A6" s="21"/>
      <c r="B6" s="136"/>
      <c r="C6" s="136"/>
      <c r="D6" s="136"/>
      <c r="E6" s="136"/>
      <c r="F6" s="136"/>
      <c r="G6" s="136"/>
      <c r="H6" s="136"/>
      <c r="I6" s="136"/>
      <c r="J6" s="136"/>
      <c r="K6" s="136"/>
      <c r="L6" s="136"/>
      <c r="M6" s="136"/>
    </row>
    <row r="7" spans="1:13">
      <c r="A7" s="1955" t="s">
        <v>2772</v>
      </c>
      <c r="B7" s="1956"/>
      <c r="C7" s="134" t="s">
        <v>988</v>
      </c>
      <c r="D7" s="134" t="s">
        <v>987</v>
      </c>
      <c r="E7" s="134" t="s">
        <v>986</v>
      </c>
      <c r="F7" s="136"/>
      <c r="G7" s="136"/>
      <c r="H7" s="136"/>
      <c r="I7" s="136"/>
      <c r="J7" s="136"/>
      <c r="K7" s="136"/>
      <c r="L7" s="136"/>
      <c r="M7" s="136"/>
    </row>
    <row r="8" spans="1:13">
      <c r="A8" s="1790" t="s">
        <v>2771</v>
      </c>
      <c r="B8" s="1792"/>
      <c r="C8" s="492">
        <v>5000</v>
      </c>
      <c r="D8" s="492">
        <v>4000</v>
      </c>
      <c r="E8" s="492">
        <v>2500</v>
      </c>
      <c r="F8" s="136"/>
      <c r="G8" s="136"/>
      <c r="H8" s="136"/>
      <c r="I8" s="136"/>
      <c r="J8" s="136"/>
      <c r="K8" s="136"/>
      <c r="L8" s="136"/>
      <c r="M8" s="136"/>
    </row>
    <row r="9" spans="1:13">
      <c r="A9" s="1790" t="s">
        <v>990</v>
      </c>
      <c r="B9" s="1792"/>
      <c r="C9" s="735">
        <v>0.45</v>
      </c>
      <c r="D9" s="735">
        <v>0.25</v>
      </c>
      <c r="E9" s="735">
        <v>0.3</v>
      </c>
      <c r="F9" s="136"/>
      <c r="G9" s="136"/>
      <c r="H9" s="136"/>
      <c r="I9" s="136"/>
      <c r="J9" s="136"/>
      <c r="K9" s="136"/>
      <c r="L9" s="136"/>
      <c r="M9" s="136"/>
    </row>
    <row r="10" spans="1:13">
      <c r="A10" s="47"/>
      <c r="B10" s="47"/>
      <c r="C10" s="1591"/>
      <c r="D10" s="1591"/>
      <c r="E10" s="1591"/>
      <c r="F10" s="136"/>
      <c r="G10" s="136"/>
      <c r="H10" s="136"/>
      <c r="I10" s="136"/>
      <c r="J10" s="136"/>
      <c r="K10" s="136"/>
      <c r="L10" s="136"/>
      <c r="M10" s="136"/>
    </row>
    <row r="11" spans="1:13" ht="15.6" customHeight="1">
      <c r="A11" s="47"/>
      <c r="B11" s="1783" t="s">
        <v>2770</v>
      </c>
      <c r="C11" s="1784"/>
      <c r="D11" s="1784"/>
      <c r="E11" s="1785"/>
      <c r="F11" s="136"/>
      <c r="G11" s="136"/>
      <c r="H11" s="136"/>
      <c r="I11" s="136"/>
      <c r="J11" s="136"/>
      <c r="K11" s="136"/>
      <c r="L11" s="136"/>
      <c r="M11" s="136"/>
    </row>
    <row r="12" spans="1:13">
      <c r="A12" s="47"/>
      <c r="B12" s="1590"/>
      <c r="C12" s="134" t="s">
        <v>988</v>
      </c>
      <c r="D12" s="134" t="s">
        <v>987</v>
      </c>
      <c r="E12" s="134" t="s">
        <v>986</v>
      </c>
      <c r="F12" s="136"/>
      <c r="G12" s="136"/>
      <c r="H12" s="136"/>
      <c r="I12" s="136"/>
      <c r="J12" s="136"/>
      <c r="K12" s="136"/>
      <c r="L12" s="136"/>
      <c r="M12" s="136"/>
    </row>
    <row r="13" spans="1:13">
      <c r="A13" s="47"/>
      <c r="B13" s="134" t="s">
        <v>988</v>
      </c>
      <c r="C13" s="1589">
        <v>1</v>
      </c>
      <c r="D13" s="1589">
        <v>0.4</v>
      </c>
      <c r="E13" s="1589">
        <v>0.7</v>
      </c>
      <c r="F13" s="136"/>
      <c r="G13" s="136"/>
      <c r="H13" s="136"/>
      <c r="I13" s="136"/>
      <c r="J13" s="136"/>
      <c r="K13" s="136"/>
      <c r="L13" s="136"/>
      <c r="M13" s="136"/>
    </row>
    <row r="14" spans="1:13">
      <c r="A14" s="47"/>
      <c r="B14" s="134" t="s">
        <v>987</v>
      </c>
      <c r="C14" s="1589">
        <v>0.4</v>
      </c>
      <c r="D14" s="1589">
        <v>1</v>
      </c>
      <c r="E14" s="1589">
        <v>0.2</v>
      </c>
      <c r="F14" s="136"/>
      <c r="G14" s="136"/>
      <c r="H14" s="136"/>
      <c r="I14" s="136"/>
      <c r="J14" s="136"/>
      <c r="K14" s="136"/>
      <c r="L14" s="136"/>
      <c r="M14" s="136"/>
    </row>
    <row r="15" spans="1:13">
      <c r="A15" s="47"/>
      <c r="B15" s="134" t="s">
        <v>986</v>
      </c>
      <c r="C15" s="1589">
        <v>0.7</v>
      </c>
      <c r="D15" s="1589">
        <v>0.2</v>
      </c>
      <c r="E15" s="1589">
        <v>1</v>
      </c>
      <c r="F15" s="136"/>
      <c r="G15" s="136"/>
      <c r="H15" s="136"/>
      <c r="I15" s="136"/>
      <c r="J15" s="136"/>
      <c r="K15" s="136"/>
      <c r="L15" s="136"/>
      <c r="M15" s="136"/>
    </row>
    <row r="16" spans="1:13">
      <c r="A16" s="136"/>
      <c r="B16" s="136"/>
      <c r="C16" s="136"/>
      <c r="D16" s="136"/>
      <c r="E16" s="136"/>
      <c r="F16" s="136"/>
      <c r="G16" s="136"/>
      <c r="H16" s="136"/>
      <c r="I16" s="136"/>
      <c r="J16" s="136"/>
      <c r="K16" s="136"/>
      <c r="L16" s="136"/>
      <c r="M16" s="136"/>
    </row>
    <row r="17" spans="1:40">
      <c r="A17" s="484" t="s">
        <v>2769</v>
      </c>
      <c r="B17" s="136"/>
      <c r="C17" s="136"/>
      <c r="D17" s="136"/>
      <c r="E17" s="136"/>
      <c r="F17" s="136"/>
      <c r="G17" s="136"/>
      <c r="H17" s="136"/>
      <c r="I17" s="136"/>
      <c r="J17" s="483" t="s">
        <v>2768</v>
      </c>
      <c r="K17" s="1588"/>
      <c r="L17" s="697">
        <v>0.1</v>
      </c>
      <c r="M17" s="136"/>
    </row>
    <row r="18" spans="1:40">
      <c r="A18" s="484" t="s">
        <v>2767</v>
      </c>
      <c r="B18" s="136"/>
      <c r="C18" s="136"/>
      <c r="D18" s="136"/>
      <c r="E18" s="136"/>
      <c r="F18" s="136"/>
      <c r="G18" s="136"/>
      <c r="H18" s="136"/>
      <c r="I18" s="136"/>
      <c r="J18" s="483" t="s">
        <v>2766</v>
      </c>
      <c r="K18" s="1588"/>
      <c r="L18" s="133">
        <v>1.5</v>
      </c>
      <c r="M18" s="136"/>
    </row>
    <row r="19" spans="1:40">
      <c r="A19" s="21"/>
      <c r="B19" s="21"/>
      <c r="C19" s="21"/>
      <c r="D19" s="21"/>
      <c r="E19" s="21"/>
      <c r="F19" s="21"/>
      <c r="G19" s="21"/>
      <c r="H19" s="21"/>
      <c r="I19" s="21"/>
      <c r="J19" s="21"/>
      <c r="K19" s="21"/>
      <c r="L19" s="2"/>
      <c r="M19" s="2"/>
    </row>
    <row r="20" spans="1:40">
      <c r="A20" s="214" t="s">
        <v>80</v>
      </c>
      <c r="B20" s="1655" t="s">
        <v>2765</v>
      </c>
      <c r="C20" s="1655"/>
      <c r="D20" s="1655"/>
      <c r="E20" s="1655"/>
      <c r="F20" s="1655"/>
      <c r="G20" s="1655"/>
      <c r="H20" s="1655"/>
      <c r="I20" s="1655"/>
      <c r="J20" s="1655"/>
      <c r="K20" s="1655"/>
      <c r="L20" s="1655"/>
      <c r="M20" s="2"/>
    </row>
    <row r="21" spans="1:40" ht="16.2">
      <c r="A21" s="5"/>
      <c r="B21" s="5" t="s">
        <v>64</v>
      </c>
      <c r="C21" s="5"/>
      <c r="D21" s="4"/>
      <c r="E21" s="4"/>
      <c r="F21" s="3"/>
      <c r="G21" s="3"/>
      <c r="H21" s="3"/>
      <c r="I21" s="2"/>
      <c r="J21" s="2"/>
      <c r="K21" s="2"/>
      <c r="L21" s="2"/>
      <c r="M21" s="2"/>
    </row>
    <row r="22" spans="1:40">
      <c r="N22"/>
      <c r="O22"/>
      <c r="P22"/>
      <c r="Q22"/>
      <c r="R22"/>
      <c r="S22"/>
      <c r="T22"/>
      <c r="U22"/>
      <c r="V22"/>
      <c r="W22"/>
      <c r="X22"/>
      <c r="Y22"/>
      <c r="Z22"/>
      <c r="AA22"/>
      <c r="AB22"/>
      <c r="AC22"/>
      <c r="AD22"/>
      <c r="AE22"/>
      <c r="AF22"/>
      <c r="AG22"/>
      <c r="AH22"/>
      <c r="AI22"/>
      <c r="AJ22"/>
      <c r="AK22"/>
      <c r="AL22"/>
      <c r="AM22"/>
      <c r="AN22"/>
    </row>
    <row r="23" spans="1:40">
      <c r="B23" s="1" t="s">
        <v>2764</v>
      </c>
      <c r="E23" s="1586">
        <f>L17*L18/(1+L17)</f>
        <v>0.13636363636363638</v>
      </c>
      <c r="N23"/>
      <c r="O23"/>
      <c r="P23"/>
      <c r="Q23"/>
      <c r="R23"/>
      <c r="S23"/>
      <c r="T23"/>
      <c r="U23"/>
      <c r="V23"/>
      <c r="W23"/>
      <c r="X23"/>
      <c r="Y23"/>
      <c r="Z23"/>
      <c r="AA23"/>
      <c r="AB23"/>
      <c r="AC23"/>
      <c r="AD23"/>
      <c r="AE23"/>
      <c r="AF23"/>
      <c r="AG23"/>
      <c r="AH23"/>
      <c r="AI23"/>
      <c r="AJ23"/>
      <c r="AK23"/>
      <c r="AL23"/>
      <c r="AM23"/>
      <c r="AN23"/>
    </row>
    <row r="24" spans="1:40">
      <c r="E24" s="1586"/>
      <c r="N24"/>
      <c r="O24"/>
      <c r="P24"/>
      <c r="Q24"/>
      <c r="R24"/>
      <c r="S24"/>
      <c r="T24"/>
      <c r="U24"/>
      <c r="V24"/>
      <c r="W24"/>
      <c r="X24"/>
      <c r="Y24"/>
      <c r="Z24"/>
      <c r="AA24"/>
      <c r="AB24"/>
      <c r="AC24"/>
      <c r="AD24"/>
      <c r="AE24"/>
      <c r="AF24"/>
      <c r="AG24"/>
      <c r="AH24"/>
      <c r="AI24"/>
      <c r="AJ24"/>
      <c r="AK24"/>
      <c r="AL24"/>
      <c r="AM24"/>
      <c r="AN24"/>
    </row>
    <row r="25" spans="1:40">
      <c r="B25" s="9" t="s">
        <v>2757</v>
      </c>
      <c r="C25" s="36" t="s">
        <v>988</v>
      </c>
      <c r="D25" s="36" t="s">
        <v>987</v>
      </c>
      <c r="E25" s="1585" t="s">
        <v>986</v>
      </c>
      <c r="F25" s="36" t="s">
        <v>2392</v>
      </c>
      <c r="N25"/>
      <c r="O25"/>
      <c r="P25"/>
      <c r="Q25"/>
      <c r="R25"/>
      <c r="S25"/>
      <c r="T25"/>
      <c r="U25"/>
      <c r="V25"/>
      <c r="W25"/>
      <c r="X25"/>
      <c r="Y25"/>
      <c r="Z25"/>
      <c r="AA25"/>
      <c r="AB25"/>
      <c r="AC25"/>
      <c r="AD25"/>
      <c r="AE25"/>
      <c r="AF25"/>
      <c r="AG25"/>
      <c r="AH25"/>
      <c r="AI25"/>
      <c r="AJ25"/>
      <c r="AK25"/>
      <c r="AL25"/>
      <c r="AM25"/>
      <c r="AN25"/>
    </row>
    <row r="26" spans="1:40">
      <c r="B26" s="1584" t="s">
        <v>2763</v>
      </c>
      <c r="C26" s="1120">
        <f t="shared" ref="C26:E27" si="0">C8</f>
        <v>5000</v>
      </c>
      <c r="D26" s="1120">
        <f t="shared" si="0"/>
        <v>4000</v>
      </c>
      <c r="E26" s="1120">
        <f t="shared" si="0"/>
        <v>2500</v>
      </c>
      <c r="F26" s="1083">
        <f>SUM(C26:E26)</f>
        <v>11500</v>
      </c>
      <c r="N26"/>
      <c r="O26"/>
      <c r="P26"/>
      <c r="Q26"/>
      <c r="R26"/>
      <c r="S26"/>
      <c r="T26"/>
      <c r="U26"/>
      <c r="V26"/>
      <c r="W26"/>
      <c r="X26"/>
      <c r="Y26"/>
      <c r="Z26"/>
      <c r="AA26"/>
      <c r="AB26"/>
      <c r="AC26"/>
      <c r="AD26"/>
      <c r="AE26"/>
      <c r="AF26"/>
      <c r="AG26"/>
      <c r="AH26"/>
      <c r="AI26"/>
      <c r="AJ26"/>
      <c r="AK26"/>
      <c r="AL26"/>
      <c r="AM26"/>
      <c r="AN26"/>
    </row>
    <row r="27" spans="1:40">
      <c r="B27" s="1584" t="s">
        <v>252</v>
      </c>
      <c r="C27" s="1587">
        <f t="shared" si="0"/>
        <v>0.45</v>
      </c>
      <c r="D27" s="1587">
        <f t="shared" si="0"/>
        <v>0.25</v>
      </c>
      <c r="E27" s="1587">
        <f t="shared" si="0"/>
        <v>0.3</v>
      </c>
      <c r="F27" s="36"/>
      <c r="N27"/>
      <c r="O27"/>
      <c r="P27"/>
      <c r="Q27"/>
      <c r="R27"/>
      <c r="S27"/>
      <c r="T27"/>
      <c r="U27"/>
      <c r="V27"/>
      <c r="W27"/>
      <c r="X27"/>
      <c r="Y27"/>
      <c r="Z27"/>
      <c r="AA27"/>
      <c r="AB27"/>
      <c r="AC27"/>
      <c r="AD27"/>
      <c r="AE27"/>
      <c r="AF27"/>
      <c r="AG27"/>
      <c r="AH27"/>
      <c r="AI27"/>
      <c r="AJ27"/>
      <c r="AK27"/>
      <c r="AL27"/>
      <c r="AM27"/>
      <c r="AN27"/>
    </row>
    <row r="28" spans="1:40">
      <c r="B28" s="9" t="s">
        <v>265</v>
      </c>
      <c r="C28" s="1120">
        <f>C26*C27</f>
        <v>2250</v>
      </c>
      <c r="D28" s="1120">
        <f>D26*D27</f>
        <v>1000</v>
      </c>
      <c r="E28" s="1120">
        <f>E26*E27</f>
        <v>750</v>
      </c>
      <c r="F28" s="1083">
        <f>(SUMPRODUCT(C28:E28,C28:E28)+2*D13*C28*D28+2*E13*C28*E28+2*E14*D28*E28)^0.5</f>
        <v>3329.789783154486</v>
      </c>
      <c r="G28" s="474"/>
      <c r="N28"/>
      <c r="O28"/>
      <c r="P28"/>
      <c r="Q28"/>
      <c r="R28"/>
      <c r="S28"/>
      <c r="T28"/>
      <c r="U28"/>
      <c r="V28"/>
      <c r="W28"/>
      <c r="X28"/>
      <c r="Y28"/>
      <c r="Z28"/>
      <c r="AA28"/>
      <c r="AB28"/>
      <c r="AC28"/>
      <c r="AD28"/>
      <c r="AE28"/>
      <c r="AF28"/>
      <c r="AG28"/>
      <c r="AH28"/>
      <c r="AI28"/>
      <c r="AJ28"/>
      <c r="AK28"/>
      <c r="AL28"/>
      <c r="AM28"/>
      <c r="AN28"/>
    </row>
    <row r="29" spans="1:40">
      <c r="B29" s="9" t="s">
        <v>2762</v>
      </c>
      <c r="C29" s="1120">
        <f>$F28-(D28^2+E28^2+2*E14*D28*E28)^0.5</f>
        <v>1965.0553767588681</v>
      </c>
      <c r="D29" s="1120">
        <f>$F28-(C28^2+E28^2+2*E13*C28*E28)^0.5</f>
        <v>503.57323094197045</v>
      </c>
      <c r="E29" s="1120">
        <f>$F28-(C28^2+D28^2+2*D13*C28*D28)^0.5</f>
        <v>525.77480459249546</v>
      </c>
      <c r="F29" s="36"/>
      <c r="N29"/>
      <c r="O29"/>
      <c r="P29"/>
      <c r="Q29"/>
      <c r="R29"/>
      <c r="S29"/>
      <c r="T29"/>
      <c r="U29"/>
      <c r="V29"/>
      <c r="W29"/>
      <c r="X29"/>
      <c r="Y29"/>
      <c r="Z29"/>
      <c r="AA29"/>
      <c r="AB29"/>
      <c r="AC29"/>
      <c r="AD29"/>
      <c r="AE29"/>
      <c r="AF29"/>
      <c r="AG29"/>
      <c r="AH29"/>
      <c r="AI29"/>
      <c r="AJ29"/>
      <c r="AK29"/>
      <c r="AL29"/>
      <c r="AM29"/>
      <c r="AN29"/>
    </row>
    <row r="30" spans="1:40">
      <c r="B30" s="9" t="s">
        <v>2761</v>
      </c>
      <c r="C30" s="1583">
        <f>C29*$E$23</f>
        <v>267.96209683075477</v>
      </c>
      <c r="D30" s="1583">
        <f>D29*$E$23</f>
        <v>68.669076946632345</v>
      </c>
      <c r="E30" s="1583">
        <f>E29*$E$23</f>
        <v>71.696564262613023</v>
      </c>
      <c r="F30" s="36"/>
      <c r="N30"/>
      <c r="O30"/>
      <c r="P30"/>
      <c r="Q30"/>
      <c r="R30"/>
      <c r="S30"/>
      <c r="T30"/>
      <c r="U30"/>
      <c r="V30"/>
      <c r="W30"/>
      <c r="X30"/>
      <c r="Y30"/>
      <c r="Z30"/>
      <c r="AA30"/>
      <c r="AB30"/>
      <c r="AC30"/>
      <c r="AD30"/>
      <c r="AE30"/>
      <c r="AF30"/>
      <c r="AG30"/>
      <c r="AH30"/>
      <c r="AI30"/>
      <c r="AJ30"/>
      <c r="AK30"/>
      <c r="AL30"/>
      <c r="AM30"/>
      <c r="AN30"/>
    </row>
    <row r="31" spans="1:40">
      <c r="E31" s="1586"/>
      <c r="N31"/>
      <c r="O31"/>
      <c r="P31"/>
      <c r="Q31"/>
      <c r="R31"/>
      <c r="S31"/>
      <c r="T31"/>
      <c r="U31"/>
      <c r="V31"/>
      <c r="W31"/>
      <c r="X31"/>
      <c r="Y31"/>
      <c r="Z31"/>
      <c r="AA31"/>
      <c r="AB31"/>
      <c r="AC31"/>
      <c r="AD31"/>
      <c r="AE31"/>
      <c r="AF31"/>
      <c r="AG31"/>
      <c r="AH31"/>
      <c r="AI31"/>
      <c r="AJ31"/>
      <c r="AK31"/>
      <c r="AL31"/>
      <c r="AM31"/>
      <c r="AN31"/>
    </row>
    <row r="32" spans="1:40">
      <c r="A32" s="1670" t="s">
        <v>2760</v>
      </c>
      <c r="B32" s="1670"/>
      <c r="C32" s="1670"/>
      <c r="D32" s="1670"/>
      <c r="E32" s="1670"/>
      <c r="F32" s="1670"/>
      <c r="G32" s="1670"/>
      <c r="H32" s="1670"/>
      <c r="I32" s="1670"/>
      <c r="J32" s="1670"/>
      <c r="K32" s="1670"/>
      <c r="L32" s="1670"/>
      <c r="M32" s="1670"/>
      <c r="N32"/>
      <c r="O32"/>
      <c r="P32"/>
      <c r="Q32"/>
      <c r="R32"/>
      <c r="S32"/>
      <c r="T32"/>
      <c r="U32"/>
      <c r="V32"/>
      <c r="W32"/>
      <c r="X32"/>
      <c r="Y32"/>
      <c r="Z32"/>
      <c r="AA32"/>
      <c r="AB32"/>
      <c r="AC32"/>
      <c r="AD32"/>
      <c r="AE32"/>
      <c r="AF32"/>
      <c r="AG32"/>
      <c r="AH32"/>
      <c r="AI32"/>
      <c r="AJ32"/>
      <c r="AK32"/>
      <c r="AL32"/>
      <c r="AM32"/>
      <c r="AN32"/>
    </row>
    <row r="33" spans="1:40">
      <c r="A33" s="3"/>
      <c r="B33" s="3"/>
      <c r="C33" s="3"/>
      <c r="D33" s="3"/>
      <c r="E33" s="3"/>
      <c r="F33" s="3"/>
      <c r="G33" s="3"/>
      <c r="H33" s="3"/>
      <c r="I33" s="3"/>
      <c r="J33" s="3"/>
      <c r="K33" s="3"/>
      <c r="L33" s="3"/>
      <c r="M33" s="3"/>
      <c r="N33"/>
      <c r="O33"/>
      <c r="P33"/>
      <c r="Q33"/>
      <c r="R33"/>
      <c r="S33"/>
      <c r="T33"/>
      <c r="U33"/>
      <c r="V33"/>
      <c r="W33"/>
      <c r="X33"/>
      <c r="Y33"/>
      <c r="Z33"/>
      <c r="AA33"/>
      <c r="AB33"/>
      <c r="AC33"/>
      <c r="AD33"/>
      <c r="AE33"/>
      <c r="AF33"/>
      <c r="AG33"/>
      <c r="AH33"/>
      <c r="AI33"/>
      <c r="AJ33"/>
      <c r="AK33"/>
      <c r="AL33"/>
      <c r="AM33"/>
      <c r="AN33"/>
    </row>
    <row r="34" spans="1:40">
      <c r="A34" s="214" t="s">
        <v>9</v>
      </c>
      <c r="B34" s="1655" t="s">
        <v>2759</v>
      </c>
      <c r="C34" s="1655"/>
      <c r="D34" s="1655"/>
      <c r="E34" s="1655"/>
      <c r="F34" s="1655"/>
      <c r="G34" s="1655"/>
      <c r="H34" s="1655"/>
      <c r="I34" s="1655"/>
      <c r="J34" s="1655"/>
      <c r="K34" s="1655"/>
      <c r="L34" s="1655"/>
      <c r="M34" s="2"/>
    </row>
    <row r="35" spans="1:40" ht="16.2">
      <c r="A35" s="5"/>
      <c r="B35" s="5" t="s">
        <v>64</v>
      </c>
      <c r="C35" s="5"/>
      <c r="D35" s="4"/>
      <c r="E35" s="4"/>
      <c r="F35" s="4"/>
      <c r="G35" s="4"/>
      <c r="H35" s="3"/>
      <c r="I35" s="3"/>
      <c r="J35" s="2"/>
      <c r="K35" s="3"/>
      <c r="L35" s="2"/>
      <c r="M35" s="2"/>
    </row>
    <row r="37" spans="1:40">
      <c r="B37" s="1" t="s">
        <v>2758</v>
      </c>
      <c r="E37" s="1586">
        <f>E23/F28</f>
        <v>4.0952626214875314E-5</v>
      </c>
      <c r="K37" s="474"/>
    </row>
    <row r="38" spans="1:40">
      <c r="E38" s="1586"/>
      <c r="K38" s="474"/>
    </row>
    <row r="39" spans="1:40">
      <c r="B39" s="9" t="s">
        <v>2757</v>
      </c>
      <c r="C39" s="36" t="s">
        <v>988</v>
      </c>
      <c r="D39" s="36" t="s">
        <v>987</v>
      </c>
      <c r="E39" s="1585" t="s">
        <v>986</v>
      </c>
      <c r="F39" s="36" t="s">
        <v>2392</v>
      </c>
    </row>
    <row r="40" spans="1:40">
      <c r="B40" s="1584" t="s">
        <v>460</v>
      </c>
      <c r="C40" s="1120">
        <f>C28^2</f>
        <v>5062500</v>
      </c>
      <c r="D40" s="1120">
        <f>D28^2</f>
        <v>1000000</v>
      </c>
      <c r="E40" s="1120">
        <f>E28^2</f>
        <v>562500</v>
      </c>
      <c r="F40" s="1120">
        <f>F28^2</f>
        <v>11087500</v>
      </c>
      <c r="H40" s="494"/>
      <c r="I40" s="500"/>
    </row>
    <row r="41" spans="1:40">
      <c r="B41" s="1584" t="s">
        <v>2750</v>
      </c>
      <c r="C41" s="1120">
        <f>$F40-(D40+E40+2*E14*D28*E28)</f>
        <v>9225000</v>
      </c>
      <c r="D41" s="1120">
        <f>$F40-(C40+E40+2*E13*C28*E28)</f>
        <v>3100000</v>
      </c>
      <c r="E41" s="1120">
        <f>$F40-(C40+D40+2*D13*C28*D28)</f>
        <v>3225000</v>
      </c>
      <c r="F41" s="36"/>
    </row>
    <row r="42" spans="1:40">
      <c r="B42" s="9" t="s">
        <v>2756</v>
      </c>
      <c r="C42" s="1583">
        <f>C41*$E$37</f>
        <v>377.78797683222479</v>
      </c>
      <c r="D42" s="1583">
        <f>D41*$E$37</f>
        <v>126.95314126611348</v>
      </c>
      <c r="E42" s="1583">
        <f>E41*$E$37</f>
        <v>132.07221954297287</v>
      </c>
      <c r="F42" s="36"/>
    </row>
    <row r="44" spans="1:40">
      <c r="A44" s="214" t="s">
        <v>7</v>
      </c>
      <c r="B44" s="1655" t="s">
        <v>2755</v>
      </c>
      <c r="C44" s="1655"/>
      <c r="D44" s="1655"/>
      <c r="E44" s="1655"/>
      <c r="F44" s="1655"/>
      <c r="G44" s="1655"/>
      <c r="H44" s="1655"/>
      <c r="I44" s="1655"/>
      <c r="J44" s="1655"/>
      <c r="K44" s="1655"/>
      <c r="L44" s="1655"/>
      <c r="M44" s="2"/>
    </row>
    <row r="45" spans="1:40" ht="16.2">
      <c r="A45" s="5"/>
      <c r="B45" s="5" t="s">
        <v>64</v>
      </c>
      <c r="C45" s="5"/>
      <c r="D45" s="4"/>
      <c r="E45" s="4"/>
      <c r="F45" s="4"/>
      <c r="G45" s="4"/>
      <c r="H45" s="3"/>
      <c r="I45" s="3"/>
      <c r="J45" s="2"/>
      <c r="K45" s="3"/>
      <c r="L45" s="2"/>
      <c r="M45" s="2"/>
    </row>
    <row r="46" spans="1:40">
      <c r="C46" s="277" t="s">
        <v>2688</v>
      </c>
      <c r="D46" s="277" t="s">
        <v>2688</v>
      </c>
    </row>
    <row r="47" spans="1:40">
      <c r="B47" s="1" t="s">
        <v>2754</v>
      </c>
      <c r="C47" s="277" t="s">
        <v>2753</v>
      </c>
      <c r="D47" s="277" t="s">
        <v>2752</v>
      </c>
    </row>
    <row r="48" spans="1:40">
      <c r="A48" s="1107" t="s">
        <v>350</v>
      </c>
      <c r="B48" s="1" t="s">
        <v>2751</v>
      </c>
      <c r="C48" s="604">
        <f>SUM(C30:E30)</f>
        <v>408.32773804000016</v>
      </c>
      <c r="D48" s="604">
        <f>F28*E23</f>
        <v>454.06224315742998</v>
      </c>
    </row>
    <row r="49" spans="1:12">
      <c r="A49" s="1107" t="s">
        <v>344</v>
      </c>
      <c r="B49" s="1" t="s">
        <v>2750</v>
      </c>
      <c r="C49" s="604">
        <f>SUM(C42:E42)</f>
        <v>636.81333764131114</v>
      </c>
      <c r="D49" s="604">
        <f>F40*E37</f>
        <v>454.06224315743003</v>
      </c>
    </row>
    <row r="50" spans="1:12">
      <c r="A50" s="1107"/>
      <c r="C50" s="604"/>
      <c r="D50" s="604"/>
    </row>
    <row r="51" spans="1:12">
      <c r="B51" s="1" t="s">
        <v>2749</v>
      </c>
    </row>
    <row r="52" spans="1:12">
      <c r="B52" s="1" t="s">
        <v>2748</v>
      </c>
    </row>
    <row r="53" spans="1:12">
      <c r="B53" s="1" t="s">
        <v>2747</v>
      </c>
    </row>
    <row r="54" spans="1:12">
      <c r="A54" s="37"/>
      <c r="B54" s="1" t="s">
        <v>2746</v>
      </c>
      <c r="C54" s="37"/>
      <c r="D54" s="37"/>
      <c r="E54" s="37"/>
      <c r="F54" s="37"/>
      <c r="G54" s="37"/>
      <c r="H54" s="37"/>
      <c r="I54" s="37"/>
      <c r="J54" s="37"/>
      <c r="K54" s="37"/>
      <c r="L54" s="37"/>
    </row>
    <row r="55" spans="1:12">
      <c r="A55" s="37"/>
      <c r="B55" s="37"/>
      <c r="C55" s="37"/>
      <c r="D55" s="37"/>
      <c r="E55" s="37"/>
      <c r="F55" s="37"/>
      <c r="G55" s="37"/>
      <c r="H55" s="37"/>
      <c r="I55" s="37"/>
      <c r="J55" s="37"/>
      <c r="K55" s="37"/>
      <c r="L55" s="37"/>
    </row>
    <row r="56" spans="1:12">
      <c r="A56" s="37"/>
      <c r="B56" s="37"/>
      <c r="C56" s="37"/>
      <c r="D56" s="37"/>
      <c r="E56" s="37"/>
      <c r="F56" s="37"/>
      <c r="G56" s="37"/>
      <c r="H56" s="37"/>
      <c r="I56" s="37"/>
      <c r="J56" s="37"/>
      <c r="K56" s="37"/>
      <c r="L56" s="37"/>
    </row>
    <row r="57" spans="1:12">
      <c r="A57" s="37"/>
      <c r="B57" s="37"/>
      <c r="C57" s="37"/>
      <c r="D57" s="37"/>
      <c r="E57" s="37"/>
      <c r="F57" s="37"/>
      <c r="G57" s="37"/>
      <c r="H57" s="37"/>
      <c r="I57" s="37"/>
      <c r="J57" s="37"/>
      <c r="K57" s="37"/>
      <c r="L57" s="37"/>
    </row>
    <row r="58" spans="1:12">
      <c r="A58" s="37"/>
      <c r="B58" s="37"/>
      <c r="C58" s="37"/>
      <c r="D58" s="37"/>
      <c r="E58" s="37"/>
      <c r="F58" s="37"/>
      <c r="G58" s="37"/>
      <c r="H58" s="37"/>
      <c r="I58" s="37"/>
      <c r="J58" s="37"/>
      <c r="K58" s="37"/>
      <c r="L58" s="37"/>
    </row>
    <row r="59" spans="1:12">
      <c r="A59" s="1557"/>
      <c r="B59" s="37"/>
      <c r="C59" s="37"/>
      <c r="D59" s="37"/>
      <c r="E59" s="37"/>
      <c r="F59" s="37"/>
      <c r="G59" s="37"/>
      <c r="H59" s="37"/>
      <c r="I59" s="37"/>
      <c r="J59" s="37"/>
      <c r="K59" s="37"/>
      <c r="L59" s="37"/>
    </row>
    <row r="60" spans="1:12">
      <c r="A60" s="1557"/>
      <c r="B60" s="37"/>
      <c r="C60" s="37"/>
      <c r="D60" s="37"/>
      <c r="E60" s="37"/>
      <c r="F60" s="37"/>
      <c r="G60" s="37"/>
      <c r="H60" s="37"/>
      <c r="I60" s="37"/>
      <c r="J60" s="37"/>
      <c r="K60" s="37"/>
      <c r="L60" s="37"/>
    </row>
    <row r="61" spans="1:12">
      <c r="A61" s="37"/>
      <c r="B61" s="37"/>
      <c r="C61" s="37"/>
      <c r="D61" s="37"/>
      <c r="E61" s="37"/>
      <c r="F61" s="37"/>
      <c r="G61" s="37"/>
      <c r="H61" s="37"/>
      <c r="I61" s="37"/>
      <c r="J61" s="37"/>
      <c r="K61" s="37"/>
      <c r="L61" s="37"/>
    </row>
    <row r="62" spans="1:12" ht="15.75" customHeight="1">
      <c r="A62" s="37"/>
      <c r="B62" s="37"/>
      <c r="C62" s="37"/>
      <c r="D62" s="37"/>
      <c r="E62" s="37"/>
      <c r="F62" s="37"/>
      <c r="G62" s="37"/>
      <c r="H62" s="37"/>
      <c r="I62" s="37"/>
      <c r="J62" s="37"/>
      <c r="K62" s="37"/>
      <c r="L62" s="37"/>
    </row>
    <row r="63" spans="1:12" ht="15.75" customHeight="1">
      <c r="A63" s="37"/>
      <c r="B63" s="37"/>
      <c r="C63" s="37"/>
      <c r="D63" s="37"/>
      <c r="E63" s="37"/>
      <c r="F63" s="37"/>
      <c r="G63" s="37"/>
      <c r="H63" s="37"/>
      <c r="I63" s="37"/>
      <c r="J63" s="37"/>
      <c r="K63" s="37"/>
      <c r="L63" s="37"/>
    </row>
    <row r="64" spans="1:12" ht="15.75" customHeight="1">
      <c r="A64" s="37"/>
      <c r="B64" s="37"/>
      <c r="C64" s="37"/>
      <c r="D64" s="37"/>
      <c r="E64" s="37"/>
      <c r="F64" s="37"/>
      <c r="G64" s="37"/>
      <c r="H64" s="37"/>
      <c r="I64" s="37"/>
      <c r="J64" s="37"/>
      <c r="K64" s="37"/>
      <c r="L64" s="37"/>
    </row>
    <row r="65" spans="1:12" ht="15.75" customHeight="1">
      <c r="A65" s="37"/>
      <c r="B65" s="37"/>
      <c r="C65" s="37"/>
      <c r="D65" s="37"/>
      <c r="E65" s="37"/>
      <c r="F65" s="37"/>
      <c r="G65" s="37"/>
      <c r="H65" s="37"/>
      <c r="I65" s="37"/>
      <c r="J65" s="37"/>
      <c r="K65" s="37"/>
      <c r="L65" s="37"/>
    </row>
    <row r="66" spans="1:12" ht="15.75" customHeight="1">
      <c r="A66" s="37"/>
      <c r="B66" s="37"/>
      <c r="C66" s="37"/>
      <c r="D66" s="37"/>
      <c r="E66" s="37"/>
      <c r="F66" s="37"/>
      <c r="G66" s="37"/>
      <c r="H66" s="37"/>
      <c r="I66" s="37"/>
      <c r="J66" s="37"/>
      <c r="K66" s="37"/>
      <c r="L66" s="37"/>
    </row>
    <row r="67" spans="1:12" ht="15.75" customHeight="1">
      <c r="A67" s="37"/>
      <c r="B67" s="37"/>
      <c r="C67" s="37"/>
      <c r="D67" s="37"/>
      <c r="E67" s="37"/>
      <c r="F67" s="37"/>
      <c r="G67" s="37"/>
      <c r="H67" s="37"/>
      <c r="I67" s="37"/>
      <c r="J67" s="37"/>
      <c r="K67" s="37"/>
      <c r="L67" s="37"/>
    </row>
    <row r="68" spans="1:12" ht="15.75" customHeight="1"/>
    <row r="69" spans="1:12" ht="15.75" customHeight="1"/>
    <row r="70" spans="1:12" ht="15.75" customHeight="1"/>
    <row r="71" spans="1:12" ht="15.75" customHeight="1"/>
    <row r="72" spans="1:12" ht="15.75" customHeight="1"/>
    <row r="73" spans="1:12" ht="15.75" customHeight="1"/>
    <row r="74" spans="1:12" ht="15.75" customHeight="1"/>
    <row r="75" spans="1:12" ht="15.75" customHeight="1"/>
    <row r="76" spans="1:12" ht="15.75" customHeight="1"/>
    <row r="77" spans="1:12" ht="15.75" customHeight="1"/>
    <row r="78" spans="1:12" ht="15.75" customHeight="1"/>
    <row r="79" spans="1:12" ht="15.75" customHeight="1"/>
    <row r="80" spans="1:12" ht="15.75" customHeight="1"/>
  </sheetData>
  <mergeCells count="9">
    <mergeCell ref="A32:M32"/>
    <mergeCell ref="B34:L34"/>
    <mergeCell ref="B44:L44"/>
    <mergeCell ref="A3:L3"/>
    <mergeCell ref="A7:B7"/>
    <mergeCell ref="A8:B8"/>
    <mergeCell ref="A9:B9"/>
    <mergeCell ref="B11:E11"/>
    <mergeCell ref="B20:L20"/>
  </mergeCells>
  <pageMargins left="0.7" right="0.7" top="0.75" bottom="0.7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8844D-C070-4674-90B1-1DB8BAFAE4B8}">
  <dimension ref="A1:M94"/>
  <sheetViews>
    <sheetView zoomScaleNormal="100" workbookViewId="0"/>
  </sheetViews>
  <sheetFormatPr defaultRowHeight="14.4"/>
  <cols>
    <col min="1" max="1" width="6.6640625" style="57" customWidth="1"/>
    <col min="2" max="10" width="12.6640625" style="57" customWidth="1"/>
    <col min="11" max="13" width="12.6640625" customWidth="1"/>
  </cols>
  <sheetData>
    <row r="1" spans="1:13" ht="18">
      <c r="A1" s="23" t="s">
        <v>1201</v>
      </c>
      <c r="B1" s="23"/>
      <c r="C1" s="342" t="s">
        <v>38</v>
      </c>
      <c r="D1" s="22"/>
      <c r="E1" s="22"/>
      <c r="F1" s="22"/>
      <c r="G1" s="22"/>
      <c r="H1" s="22"/>
      <c r="I1" s="22"/>
      <c r="J1" s="22"/>
      <c r="K1" s="22"/>
      <c r="L1" s="22"/>
      <c r="M1" s="22"/>
    </row>
    <row r="2" spans="1:13" ht="16.2">
      <c r="A2" s="376"/>
      <c r="B2" s="376"/>
      <c r="C2" s="22"/>
      <c r="D2" s="22"/>
      <c r="E2" s="22"/>
      <c r="F2" s="22"/>
      <c r="G2" s="22"/>
      <c r="H2" s="22"/>
      <c r="I2" s="342"/>
      <c r="J2" s="342"/>
      <c r="K2" s="341"/>
      <c r="L2" s="341"/>
      <c r="M2" s="341"/>
    </row>
    <row r="3" spans="1:13" s="1025" customFormat="1" ht="14.4" customHeight="1">
      <c r="A3" s="1692" t="s">
        <v>2793</v>
      </c>
      <c r="B3" s="1692"/>
      <c r="C3" s="1692"/>
      <c r="D3" s="1692"/>
      <c r="E3" s="1692"/>
      <c r="F3" s="1692"/>
      <c r="G3" s="1692"/>
      <c r="H3" s="1692"/>
      <c r="I3" s="1692"/>
      <c r="J3" s="1692"/>
      <c r="K3" s="1692"/>
      <c r="L3" s="1692"/>
      <c r="M3" s="1692"/>
    </row>
    <row r="4" spans="1:13" s="1025" customFormat="1" ht="14.4" customHeight="1">
      <c r="A4" s="1957"/>
      <c r="B4" s="1957"/>
      <c r="C4" s="1957"/>
      <c r="D4" s="1957"/>
      <c r="E4" s="1957"/>
      <c r="F4" s="1957"/>
      <c r="G4" s="1957"/>
      <c r="H4" s="1957"/>
      <c r="I4" s="1957"/>
      <c r="J4" s="1957"/>
      <c r="K4" s="1957"/>
      <c r="L4" s="1957"/>
      <c r="M4" s="1957"/>
    </row>
    <row r="5" spans="1:13" s="1025" customFormat="1">
      <c r="A5" s="1865" t="s">
        <v>2792</v>
      </c>
      <c r="B5" s="1865"/>
      <c r="C5" s="1865" t="s">
        <v>2617</v>
      </c>
      <c r="D5" s="1865"/>
      <c r="E5" s="1865"/>
      <c r="F5" s="1630"/>
      <c r="G5" s="1630"/>
      <c r="H5" s="1630"/>
      <c r="I5" s="1630"/>
      <c r="J5" s="1630"/>
      <c r="K5" s="1630"/>
      <c r="L5" s="1630"/>
      <c r="M5" s="325"/>
    </row>
    <row r="6" spans="1:13" s="1025" customFormat="1">
      <c r="A6" s="1629" t="s">
        <v>2616</v>
      </c>
      <c r="B6" s="1628" t="s">
        <v>2791</v>
      </c>
      <c r="C6" s="1628" t="s">
        <v>988</v>
      </c>
      <c r="D6" s="1628" t="s">
        <v>987</v>
      </c>
      <c r="E6" s="1628" t="s">
        <v>986</v>
      </c>
      <c r="F6" s="1627"/>
      <c r="G6" s="1627"/>
      <c r="H6" s="1627"/>
      <c r="I6" s="1627"/>
      <c r="J6" s="1627"/>
      <c r="K6" s="1626"/>
      <c r="L6" s="1626"/>
      <c r="M6" s="325"/>
    </row>
    <row r="7" spans="1:13" s="1025" customFormat="1">
      <c r="A7" s="1625">
        <v>1</v>
      </c>
      <c r="B7" s="1624">
        <v>5.0000000000000001E-3</v>
      </c>
      <c r="C7" s="1623">
        <v>40000</v>
      </c>
      <c r="D7" s="1623">
        <v>20000</v>
      </c>
      <c r="E7" s="1623">
        <v>10000</v>
      </c>
      <c r="F7" s="1037"/>
      <c r="G7" s="1622"/>
      <c r="H7" s="1622"/>
      <c r="I7" s="1037"/>
      <c r="J7" s="1037"/>
      <c r="K7" s="325"/>
      <c r="L7" s="325"/>
      <c r="M7" s="325"/>
    </row>
    <row r="8" spans="1:13" s="1025" customFormat="1">
      <c r="A8" s="1625">
        <v>2</v>
      </c>
      <c r="B8" s="1624">
        <v>1.0999999999999999E-2</v>
      </c>
      <c r="C8" s="1623">
        <v>20000</v>
      </c>
      <c r="D8" s="1623">
        <v>10000</v>
      </c>
      <c r="E8" s="1623">
        <v>5000</v>
      </c>
      <c r="F8" s="1037"/>
      <c r="G8" s="1622"/>
      <c r="H8" s="1622"/>
      <c r="I8" s="1037"/>
      <c r="J8" s="1037"/>
      <c r="K8" s="325"/>
      <c r="L8" s="325"/>
      <c r="M8" s="325"/>
    </row>
    <row r="9" spans="1:13" s="1025" customFormat="1">
      <c r="A9" s="1625">
        <v>3</v>
      </c>
      <c r="B9" s="1624">
        <v>2.1000000000000001E-2</v>
      </c>
      <c r="C9" s="1623">
        <v>5000</v>
      </c>
      <c r="D9" s="1623">
        <v>1000</v>
      </c>
      <c r="E9" s="1623">
        <v>500</v>
      </c>
      <c r="F9" s="1037"/>
      <c r="G9" s="1622"/>
      <c r="H9" s="1622"/>
      <c r="I9" s="1037"/>
      <c r="J9" s="1037"/>
      <c r="K9" s="325"/>
      <c r="L9" s="325"/>
      <c r="M9" s="325"/>
    </row>
    <row r="10" spans="1:13" s="1025" customFormat="1">
      <c r="A10" s="1037"/>
      <c r="B10" s="1037"/>
      <c r="C10" s="1037"/>
      <c r="D10" s="1621"/>
      <c r="E10" s="1037"/>
      <c r="F10" s="1037"/>
      <c r="G10" s="1037"/>
      <c r="H10" s="1037"/>
      <c r="I10" s="1037"/>
      <c r="J10" s="1037"/>
      <c r="K10" s="325"/>
      <c r="L10" s="325"/>
      <c r="M10" s="325"/>
    </row>
    <row r="11" spans="1:13" s="1025" customFormat="1" ht="15.6">
      <c r="A11" s="1620" t="s">
        <v>2790</v>
      </c>
      <c r="B11" s="1619"/>
      <c r="C11" s="1619"/>
      <c r="D11" s="1612"/>
      <c r="E11" s="1037"/>
      <c r="F11" s="1037"/>
      <c r="G11" s="1037"/>
      <c r="H11" s="1037"/>
      <c r="I11" s="1037"/>
      <c r="J11" s="793"/>
      <c r="K11" s="792" t="s">
        <v>2789</v>
      </c>
      <c r="L11" s="325"/>
      <c r="M11" s="325"/>
    </row>
    <row r="12" spans="1:13" s="1025" customFormat="1" ht="15.6">
      <c r="A12" s="22" t="s">
        <v>2788</v>
      </c>
      <c r="B12" s="1037"/>
      <c r="C12" s="325"/>
      <c r="D12" s="1612"/>
      <c r="E12" s="1037"/>
      <c r="F12" s="1037"/>
      <c r="G12" s="1037"/>
      <c r="H12" s="1037"/>
      <c r="I12" s="1037"/>
      <c r="J12" s="324"/>
      <c r="K12" s="1618">
        <v>2.4000000000000001E-5</v>
      </c>
      <c r="L12" s="325"/>
      <c r="M12" s="325"/>
    </row>
    <row r="13" spans="1:13" s="1025" customFormat="1">
      <c r="A13" s="1037"/>
      <c r="B13" s="1037"/>
      <c r="C13" s="1037"/>
      <c r="D13" s="1612"/>
      <c r="E13" s="1037"/>
      <c r="F13" s="1037"/>
      <c r="G13" s="1037"/>
      <c r="H13" s="1037"/>
      <c r="I13" s="1037"/>
      <c r="J13" s="1037"/>
      <c r="K13" s="325"/>
      <c r="L13" s="325"/>
      <c r="M13" s="325"/>
    </row>
    <row r="14" spans="1:13" s="1025" customFormat="1">
      <c r="A14" s="1613" t="s">
        <v>2787</v>
      </c>
      <c r="B14" s="1037" t="s">
        <v>2786</v>
      </c>
      <c r="C14" s="1037"/>
      <c r="D14" s="1612"/>
      <c r="E14" s="1037"/>
      <c r="F14" s="1037"/>
      <c r="G14" s="1037"/>
      <c r="H14" s="1037"/>
      <c r="I14" s="1037"/>
      <c r="J14" s="1037"/>
      <c r="K14" s="325"/>
      <c r="L14" s="325"/>
      <c r="M14" s="325"/>
    </row>
    <row r="15" spans="1:13" s="1025" customFormat="1">
      <c r="A15" s="1613"/>
      <c r="B15" s="1614" t="s">
        <v>2785</v>
      </c>
      <c r="C15" s="1037"/>
      <c r="D15" s="1612"/>
      <c r="E15" s="1037"/>
      <c r="F15" s="1037"/>
      <c r="G15" s="1037"/>
      <c r="H15" s="1037"/>
      <c r="I15" s="1037"/>
      <c r="J15" s="1037"/>
      <c r="K15" s="325"/>
      <c r="L15" s="325"/>
      <c r="M15" s="325"/>
    </row>
    <row r="16" spans="1:13" s="1025" customFormat="1" ht="16.2">
      <c r="A16" s="1613"/>
      <c r="B16" s="318" t="s">
        <v>64</v>
      </c>
      <c r="C16" s="1037"/>
      <c r="D16" s="1612"/>
      <c r="E16" s="1037"/>
      <c r="F16" s="1037"/>
      <c r="G16" s="1037"/>
      <c r="H16" s="1037"/>
      <c r="I16" s="1037"/>
      <c r="J16" s="1037"/>
      <c r="K16" s="325"/>
      <c r="L16" s="325"/>
      <c r="M16" s="325"/>
    </row>
    <row r="18" spans="1:13">
      <c r="A18" s="817" t="s">
        <v>2616</v>
      </c>
      <c r="B18" s="817" t="s">
        <v>2615</v>
      </c>
      <c r="C18" s="817" t="s">
        <v>988</v>
      </c>
      <c r="D18" s="817" t="s">
        <v>987</v>
      </c>
      <c r="E18" s="817" t="s">
        <v>986</v>
      </c>
      <c r="F18" s="817" t="s">
        <v>2784</v>
      </c>
      <c r="H18" s="57" t="s">
        <v>2614</v>
      </c>
      <c r="I18" s="57" t="s">
        <v>2783</v>
      </c>
      <c r="J18" s="57" t="s">
        <v>2782</v>
      </c>
    </row>
    <row r="19" spans="1:13">
      <c r="A19" s="817">
        <v>1</v>
      </c>
      <c r="B19" s="1617">
        <f t="shared" ref="B19:E21" si="0">B7</f>
        <v>5.0000000000000001E-3</v>
      </c>
      <c r="C19" s="1616">
        <f t="shared" si="0"/>
        <v>40000</v>
      </c>
      <c r="D19" s="1616">
        <f t="shared" si="0"/>
        <v>20000</v>
      </c>
      <c r="E19" s="1616">
        <f t="shared" si="0"/>
        <v>10000</v>
      </c>
      <c r="F19" s="1616">
        <f>SUM(C19:E19)</f>
        <v>70000</v>
      </c>
      <c r="H19" s="1595">
        <f>C19+D19</f>
        <v>60000</v>
      </c>
      <c r="I19" s="1595">
        <f>C19+E19</f>
        <v>50000</v>
      </c>
      <c r="J19" s="1595">
        <f>D19+E19</f>
        <v>30000</v>
      </c>
    </row>
    <row r="20" spans="1:13">
      <c r="A20" s="817">
        <v>2</v>
      </c>
      <c r="B20" s="1617">
        <f t="shared" si="0"/>
        <v>1.0999999999999999E-2</v>
      </c>
      <c r="C20" s="1616">
        <f t="shared" si="0"/>
        <v>20000</v>
      </c>
      <c r="D20" s="1616">
        <f t="shared" si="0"/>
        <v>10000</v>
      </c>
      <c r="E20" s="1616">
        <f t="shared" si="0"/>
        <v>5000</v>
      </c>
      <c r="F20" s="1616">
        <f>SUM(C20:E20)</f>
        <v>35000</v>
      </c>
      <c r="H20" s="1595">
        <f>C20+D20</f>
        <v>30000</v>
      </c>
      <c r="I20" s="1595">
        <f>C20+E20</f>
        <v>25000</v>
      </c>
      <c r="J20" s="1595">
        <f>D20+E20</f>
        <v>15000</v>
      </c>
    </row>
    <row r="21" spans="1:13">
      <c r="A21" s="817">
        <v>3</v>
      </c>
      <c r="B21" s="1617">
        <f t="shared" si="0"/>
        <v>2.1000000000000001E-2</v>
      </c>
      <c r="C21" s="1616">
        <f t="shared" si="0"/>
        <v>5000</v>
      </c>
      <c r="D21" s="1616">
        <f t="shared" si="0"/>
        <v>1000</v>
      </c>
      <c r="E21" s="1616">
        <f t="shared" si="0"/>
        <v>500</v>
      </c>
      <c r="F21" s="1616">
        <f>SUM(C21:E21)</f>
        <v>6500</v>
      </c>
      <c r="H21" s="1595">
        <f>C21+D21</f>
        <v>6000</v>
      </c>
      <c r="I21" s="1595">
        <f>C21+E21</f>
        <v>5500</v>
      </c>
      <c r="J21" s="1595">
        <f>D21+E21</f>
        <v>1500</v>
      </c>
    </row>
    <row r="22" spans="1:13">
      <c r="C22" s="817"/>
      <c r="D22" s="817"/>
      <c r="E22" s="817"/>
      <c r="F22" s="817"/>
    </row>
    <row r="23" spans="1:13">
      <c r="C23" s="817" t="s">
        <v>988</v>
      </c>
      <c r="D23" s="817" t="s">
        <v>987</v>
      </c>
      <c r="E23" s="817" t="s">
        <v>986</v>
      </c>
      <c r="F23" s="817" t="s">
        <v>2784</v>
      </c>
      <c r="H23" s="57" t="s">
        <v>2614</v>
      </c>
      <c r="I23" s="57" t="s">
        <v>2783</v>
      </c>
      <c r="J23" s="57" t="s">
        <v>2782</v>
      </c>
      <c r="K23" s="57"/>
    </row>
    <row r="24" spans="1:13">
      <c r="B24" s="57" t="s">
        <v>460</v>
      </c>
      <c r="C24" s="1232" cm="1">
        <f t="array" ref="C24">SUMPRODUCT(C$19:C$21,C$19:C$21,$B$19:$B$21,(1-$B$19:$B$21))</f>
        <v>12825575</v>
      </c>
      <c r="D24" s="1232" cm="1">
        <f t="array" ref="D24">SUMPRODUCT(D$19:D$21,D$19:D$21,$B$19:$B$21,(1-$B$19:$B$21))</f>
        <v>3098459</v>
      </c>
      <c r="E24" s="1232" cm="1">
        <f t="array" ref="E24">SUMPRODUCT(E$19:E$21,E$19:E$21,$B$19:$B$21,(1-$B$19:$B$21))</f>
        <v>774614.75</v>
      </c>
      <c r="F24" s="1232" cm="1">
        <f t="array" ref="F24">SUMPRODUCT(F$19:F$21,F$19:F$21,$B$19:$B$21,(1-$B$19:$B$21))</f>
        <v>38572892.75</v>
      </c>
      <c r="H24" s="1232" cm="1">
        <f t="array" ref="H24">SUMPRODUCT(H$19:H$21,H$19:H$21,$B$19:$B$21,(1-$B$19:$B$21))</f>
        <v>28441224</v>
      </c>
      <c r="I24" s="1232" cm="1">
        <f t="array" ref="I24">SUMPRODUCT(I$19:I$21,I$19:I$21,$B$19:$B$21,(1-$B$19:$B$21))</f>
        <v>19858784.75</v>
      </c>
      <c r="J24" s="1232" cm="1">
        <f t="array" ref="J24">SUMPRODUCT(J$19:J$21,J$19:J$21,$B$19:$B$21,(1-$B$19:$B$21))</f>
        <v>6971532.75</v>
      </c>
      <c r="K24" s="1599"/>
    </row>
    <row r="25" spans="1:13">
      <c r="B25" s="57" t="s">
        <v>2781</v>
      </c>
      <c r="C25" s="1232">
        <f>F24-J24</f>
        <v>31601360</v>
      </c>
      <c r="D25" s="1232">
        <f>F24-I24</f>
        <v>18714108</v>
      </c>
      <c r="E25" s="1232">
        <f>F24-H24</f>
        <v>10131668.75</v>
      </c>
      <c r="K25" s="1599"/>
    </row>
    <row r="26" spans="1:13">
      <c r="B26" s="57" t="s">
        <v>2688</v>
      </c>
      <c r="C26" s="1232">
        <f>C25*$K$12</f>
        <v>758.43263999999999</v>
      </c>
      <c r="D26" s="1232">
        <f>D25*$K$12</f>
        <v>449.13859200000002</v>
      </c>
      <c r="E26" s="1232">
        <f>E25*$K$12</f>
        <v>243.16005000000001</v>
      </c>
      <c r="K26" s="1599"/>
    </row>
    <row r="27" spans="1:13">
      <c r="C27" s="1615"/>
      <c r="H27" s="1092"/>
    </row>
    <row r="28" spans="1:13" s="1025" customFormat="1">
      <c r="A28" s="1613"/>
      <c r="B28" s="1614" t="s">
        <v>2780</v>
      </c>
      <c r="C28" s="1037"/>
      <c r="D28" s="1612"/>
      <c r="E28" s="1037"/>
      <c r="F28" s="1037"/>
      <c r="G28" s="1037"/>
      <c r="H28" s="1037"/>
      <c r="I28" s="1037"/>
      <c r="J28" s="1037"/>
      <c r="K28" s="325"/>
      <c r="L28" s="325"/>
      <c r="M28" s="325"/>
    </row>
    <row r="29" spans="1:13" s="1025" customFormat="1" ht="16.2">
      <c r="A29" s="1613"/>
      <c r="B29" s="318" t="s">
        <v>64</v>
      </c>
      <c r="C29" s="1037"/>
      <c r="D29" s="1612"/>
      <c r="E29" s="1037"/>
      <c r="F29" s="1037"/>
      <c r="G29" s="1037"/>
      <c r="H29" s="1037"/>
      <c r="I29" s="1037"/>
      <c r="J29" s="1037"/>
      <c r="K29" s="325"/>
      <c r="L29" s="325"/>
      <c r="M29" s="325"/>
    </row>
    <row r="30" spans="1:13">
      <c r="A30" s="1600"/>
      <c r="B30" s="1610"/>
      <c r="J30" s="56"/>
      <c r="K30" s="57"/>
    </row>
    <row r="31" spans="1:13">
      <c r="A31" s="1600"/>
      <c r="B31" s="1610"/>
      <c r="C31" s="57" t="s">
        <v>2779</v>
      </c>
      <c r="J31" s="56"/>
      <c r="K31" s="57"/>
    </row>
    <row r="32" spans="1:13">
      <c r="A32" s="1600"/>
      <c r="B32" s="1610"/>
      <c r="C32" s="817" t="s">
        <v>988</v>
      </c>
      <c r="D32" s="817" t="s">
        <v>987</v>
      </c>
      <c r="E32" s="817" t="s">
        <v>986</v>
      </c>
    </row>
    <row r="33" spans="1:13">
      <c r="A33" s="1600"/>
      <c r="B33" s="1611" t="s">
        <v>988</v>
      </c>
      <c r="C33" s="1232" cm="1">
        <f t="array" ref="C33">SUMPRODUCT($B$19:$B$21,(1-$B$19:$B$21),$C$19:$C$21,C$19:C$21)</f>
        <v>12825575</v>
      </c>
      <c r="D33" s="1232" cm="1">
        <f t="array" ref="D33">SUMPRODUCT($B$19:$B$21,(1-$B$19:$B$21),$C$19:$C$21,D$19:D$21)</f>
        <v>6258595</v>
      </c>
      <c r="E33" s="1232" cm="1">
        <f t="array" ref="E33">SUMPRODUCT($B$19:$B$21,(1-$B$19:$B$21),$C$19:$C$21,E$19:E$21)</f>
        <v>3129297.5</v>
      </c>
    </row>
    <row r="34" spans="1:13">
      <c r="A34" s="1600"/>
      <c r="B34" s="1611" t="s">
        <v>987</v>
      </c>
      <c r="C34" s="1232" cm="1">
        <f t="array" ref="C34">SUMPRODUCT($B$19:$B$21,(1-$B$19:$B$21),$D$19:$D$21,C$19:C$21)</f>
        <v>6258595</v>
      </c>
      <c r="D34" s="1232" cm="1">
        <f t="array" ref="D34">SUMPRODUCT($B$19:$B$21,(1-$B$19:$B$21),$D$19:$D$21,D$19:D$21)</f>
        <v>3098459</v>
      </c>
      <c r="E34" s="1232" cm="1">
        <f t="array" ref="E34">SUMPRODUCT($B$19:$B$21,(1-$B$19:$B$21),$D$19:$D$21,E$19:E$21)</f>
        <v>1549229.5</v>
      </c>
      <c r="H34" s="1599"/>
    </row>
    <row r="35" spans="1:13">
      <c r="A35" s="1600"/>
      <c r="B35" s="1611" t="s">
        <v>986</v>
      </c>
      <c r="C35" s="1232" cm="1">
        <f t="array" ref="C35">SUMPRODUCT($B$19:$B$21,(1-$B$19:$B$21),$E$19:$E$21,C$19:C$21)</f>
        <v>3129297.5</v>
      </c>
      <c r="D35" s="1232" cm="1">
        <f t="array" ref="D35">SUMPRODUCT($B$19:$B$21,(1-$B$19:$B$21),$E$19:$E$21,D$19:D$21)</f>
        <v>1549229.5</v>
      </c>
      <c r="E35" s="1232" cm="1">
        <f t="array" ref="E35">SUMPRODUCT($B$19:$B$21,(1-$B$19:$B$21),$E$19:$E$21,E$19:E$21)</f>
        <v>774614.75</v>
      </c>
      <c r="H35" s="1092"/>
    </row>
    <row r="36" spans="1:13">
      <c r="A36" s="1600"/>
      <c r="B36" s="1610"/>
      <c r="H36" s="1092"/>
      <c r="J36" s="56"/>
      <c r="K36" s="57"/>
    </row>
    <row r="37" spans="1:13">
      <c r="A37" s="1600"/>
      <c r="B37" s="1607"/>
      <c r="C37" s="817" t="s">
        <v>988</v>
      </c>
      <c r="D37" s="817" t="s">
        <v>987</v>
      </c>
      <c r="E37" s="817" t="s">
        <v>986</v>
      </c>
      <c r="H37" s="1092"/>
    </row>
    <row r="38" spans="1:13">
      <c r="A38" s="1600"/>
      <c r="B38" s="1607" t="s">
        <v>2701</v>
      </c>
      <c r="C38" s="1609">
        <f>SUM(C33:C35)</f>
        <v>22213467.5</v>
      </c>
      <c r="D38" s="1609">
        <f>SUM(D33:D35)</f>
        <v>10906283.5</v>
      </c>
      <c r="E38" s="1609">
        <f>SUM(E33:E35)</f>
        <v>5453141.75</v>
      </c>
      <c r="H38" s="1599"/>
    </row>
    <row r="39" spans="1:13">
      <c r="A39" s="1600"/>
      <c r="B39" s="1607" t="s">
        <v>2688</v>
      </c>
      <c r="C39" s="1609">
        <f>$K$12*C38</f>
        <v>533.12322000000006</v>
      </c>
      <c r="D39" s="1609">
        <f>$K$12*D38</f>
        <v>261.75080400000002</v>
      </c>
      <c r="E39" s="1609">
        <f>$K$12*E38</f>
        <v>130.87540200000001</v>
      </c>
      <c r="H39" s="1599"/>
    </row>
    <row r="40" spans="1:13">
      <c r="A40" s="1600"/>
      <c r="D40" s="1608"/>
      <c r="E40" s="1607"/>
      <c r="F40" s="1607"/>
      <c r="G40" s="1607"/>
      <c r="H40" s="1607"/>
    </row>
    <row r="41" spans="1:13" s="1025" customFormat="1">
      <c r="A41" s="1606" t="s">
        <v>2778</v>
      </c>
      <c r="B41" s="1037" t="s">
        <v>2777</v>
      </c>
      <c r="C41" s="1037"/>
      <c r="D41" s="1037"/>
      <c r="E41" s="1037"/>
      <c r="F41" s="1037"/>
      <c r="G41" s="1037"/>
      <c r="H41" s="1037"/>
      <c r="I41" s="1037"/>
      <c r="J41" s="1605"/>
      <c r="K41" s="1037"/>
      <c r="L41" s="325"/>
      <c r="M41" s="325"/>
    </row>
    <row r="42" spans="1:13" s="1025" customFormat="1" ht="16.2">
      <c r="A42" s="1606"/>
      <c r="B42" s="318" t="s">
        <v>64</v>
      </c>
      <c r="C42" s="1037"/>
      <c r="D42" s="1037"/>
      <c r="E42" s="1037"/>
      <c r="F42" s="1037"/>
      <c r="G42" s="1037"/>
      <c r="H42" s="1037"/>
      <c r="I42" s="1037"/>
      <c r="J42" s="1605"/>
      <c r="K42" s="1037"/>
      <c r="L42" s="325"/>
      <c r="M42" s="325"/>
    </row>
    <row r="44" spans="1:13">
      <c r="B44" s="1600" t="s">
        <v>2776</v>
      </c>
      <c r="D44" s="1604"/>
      <c r="E44" s="1602">
        <f>SUM($C$39:$E$39)</f>
        <v>925.74942600000008</v>
      </c>
      <c r="F44" s="1603"/>
      <c r="G44" s="1602"/>
    </row>
    <row r="45" spans="1:13">
      <c r="B45" s="1600" t="s">
        <v>2775</v>
      </c>
      <c r="D45" s="1597"/>
      <c r="E45" s="1602">
        <f>$K$12*$F$24</f>
        <v>925.74942599999997</v>
      </c>
      <c r="F45" s="1596"/>
      <c r="G45" s="1602"/>
      <c r="H45" s="1599"/>
    </row>
    <row r="46" spans="1:13">
      <c r="B46" s="817"/>
      <c r="D46" s="1597"/>
      <c r="E46" s="1601" t="b">
        <f>E44=E45</f>
        <v>1</v>
      </c>
      <c r="F46" s="1596"/>
      <c r="G46" s="1596"/>
      <c r="H46" s="1092"/>
    </row>
    <row r="47" spans="1:13">
      <c r="B47" s="1600" t="s">
        <v>2774</v>
      </c>
      <c r="D47" s="1597"/>
      <c r="E47" s="1596"/>
      <c r="F47" s="1596"/>
      <c r="G47" s="1596"/>
      <c r="H47" s="1599"/>
    </row>
    <row r="48" spans="1:13">
      <c r="D48" s="1598"/>
      <c r="E48" s="1596"/>
      <c r="F48" s="1596"/>
      <c r="G48" s="1596"/>
    </row>
    <row r="49" spans="1:11">
      <c r="C49" s="817"/>
      <c r="D49" s="1597"/>
      <c r="E49" s="1596"/>
      <c r="F49" s="1596"/>
      <c r="G49" s="1596"/>
    </row>
    <row r="52" spans="1:11">
      <c r="B52" s="56"/>
      <c r="D52" s="1595"/>
      <c r="E52" s="1595"/>
      <c r="F52" s="1595"/>
      <c r="G52" s="1595"/>
      <c r="J52" s="56"/>
      <c r="K52" s="57"/>
    </row>
    <row r="53" spans="1:11">
      <c r="D53" s="1595"/>
      <c r="E53" s="1595"/>
      <c r="F53" s="1595"/>
      <c r="G53" s="1595"/>
    </row>
    <row r="55" spans="1:11">
      <c r="D55" s="1594"/>
      <c r="E55" s="1594"/>
      <c r="F55" s="1594"/>
    </row>
    <row r="56" spans="1:11">
      <c r="D56" s="1593"/>
      <c r="E56" s="1593"/>
      <c r="F56" s="1593"/>
    </row>
    <row r="57" spans="1:11">
      <c r="C57" s="1301"/>
      <c r="D57" s="1593"/>
      <c r="E57" s="1593"/>
      <c r="F57" s="1593"/>
    </row>
    <row r="58" spans="1:11">
      <c r="D58" s="1593"/>
      <c r="E58" s="1593"/>
      <c r="F58" s="1593"/>
    </row>
    <row r="59" spans="1:11">
      <c r="D59" s="1592"/>
      <c r="E59" s="1592"/>
      <c r="F59" s="1592"/>
    </row>
    <row r="60" spans="1:11">
      <c r="A60"/>
      <c r="B60"/>
      <c r="C60"/>
      <c r="D60"/>
      <c r="E60"/>
      <c r="F60"/>
      <c r="G60"/>
      <c r="H60"/>
      <c r="I60"/>
      <c r="J60"/>
    </row>
    <row r="61" spans="1:11">
      <c r="A61"/>
      <c r="B61"/>
      <c r="C61"/>
      <c r="D61"/>
      <c r="E61"/>
      <c r="F61"/>
      <c r="G61"/>
      <c r="H61"/>
      <c r="I61"/>
      <c r="J61"/>
    </row>
    <row r="62" spans="1:11">
      <c r="A62"/>
      <c r="B62"/>
      <c r="C62"/>
      <c r="D62"/>
      <c r="E62"/>
      <c r="F62"/>
      <c r="G62"/>
      <c r="H62"/>
      <c r="I62"/>
      <c r="J62"/>
    </row>
    <row r="63" spans="1:11">
      <c r="A63"/>
      <c r="B63"/>
      <c r="C63"/>
      <c r="D63"/>
      <c r="E63"/>
      <c r="F63"/>
      <c r="G63"/>
      <c r="H63"/>
      <c r="I63"/>
      <c r="J63"/>
    </row>
    <row r="64" spans="1:11">
      <c r="A64"/>
      <c r="B64"/>
      <c r="C64"/>
      <c r="D64"/>
      <c r="E64"/>
      <c r="F64"/>
      <c r="G64"/>
      <c r="H64"/>
      <c r="I64"/>
      <c r="J64"/>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sheetData>
  <mergeCells count="4">
    <mergeCell ref="A3:M3"/>
    <mergeCell ref="A4:M4"/>
    <mergeCell ref="A5:B5"/>
    <mergeCell ref="C5:E5"/>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16F85-C829-4800-B319-1963A81A6410}">
  <dimension ref="A1:M231"/>
  <sheetViews>
    <sheetView zoomScaleNormal="100" workbookViewId="0"/>
  </sheetViews>
  <sheetFormatPr defaultColWidth="8.88671875" defaultRowHeight="15.6"/>
  <cols>
    <col min="1" max="1" width="11.44140625" style="1" customWidth="1"/>
    <col min="2" max="5" width="13.6640625" style="1" customWidth="1"/>
    <col min="6" max="6" width="15.33203125" style="1" customWidth="1"/>
    <col min="7" max="7" width="13.6640625" style="1" customWidth="1"/>
    <col min="8" max="13" width="12.33203125" style="1" customWidth="1"/>
    <col min="14" max="16384" width="8.88671875" style="1"/>
  </cols>
  <sheetData>
    <row r="1" spans="1:13" ht="18" customHeight="1">
      <c r="A1" s="23" t="s">
        <v>1201</v>
      </c>
      <c r="B1" s="497"/>
      <c r="C1" s="342" t="s">
        <v>38</v>
      </c>
      <c r="D1" s="22"/>
      <c r="E1" s="22"/>
      <c r="F1" s="22"/>
      <c r="G1" s="22"/>
      <c r="H1" s="22"/>
      <c r="I1" s="22"/>
      <c r="J1" s="22"/>
      <c r="K1" s="22"/>
      <c r="L1" s="22"/>
      <c r="M1" s="22"/>
    </row>
    <row r="2" spans="1:13" ht="16.2">
      <c r="A2" s="376"/>
      <c r="B2" s="376"/>
      <c r="C2" s="22"/>
      <c r="D2" s="22"/>
      <c r="E2" s="22"/>
      <c r="F2" s="22"/>
      <c r="G2" s="22"/>
      <c r="H2" s="22"/>
      <c r="I2" s="342"/>
      <c r="J2" s="342"/>
      <c r="K2" s="341"/>
      <c r="L2" s="341"/>
      <c r="M2" s="341"/>
    </row>
    <row r="3" spans="1:13" s="328" customFormat="1" ht="31.2" customHeight="1">
      <c r="A3" s="1706" t="s">
        <v>2828</v>
      </c>
      <c r="B3" s="1706"/>
      <c r="C3" s="1706"/>
      <c r="D3" s="1706"/>
      <c r="E3" s="1706"/>
      <c r="F3" s="1706"/>
      <c r="G3" s="1706"/>
      <c r="H3" s="1706"/>
      <c r="I3" s="1706"/>
      <c r="J3" s="1706"/>
      <c r="K3" s="1706"/>
      <c r="L3" s="1706"/>
      <c r="M3" s="1706"/>
    </row>
    <row r="4" spans="1:13" s="328" customFormat="1" ht="14.4" customHeight="1">
      <c r="A4" s="340"/>
      <c r="B4" s="340"/>
      <c r="C4" s="340"/>
      <c r="D4" s="340"/>
      <c r="E4" s="340"/>
      <c r="F4" s="340"/>
      <c r="G4" s="340"/>
      <c r="H4" s="340"/>
      <c r="I4" s="340"/>
      <c r="J4" s="340"/>
      <c r="K4" s="340"/>
      <c r="L4" s="340"/>
      <c r="M4" s="340"/>
    </row>
    <row r="5" spans="1:13" s="328" customFormat="1" ht="14.4" customHeight="1">
      <c r="A5" s="22" t="s">
        <v>80</v>
      </c>
      <c r="B5" s="22" t="s">
        <v>2827</v>
      </c>
      <c r="C5" s="22"/>
      <c r="D5" s="22"/>
      <c r="E5" s="22"/>
      <c r="F5" s="22"/>
      <c r="G5" s="22"/>
      <c r="H5" s="22"/>
      <c r="I5" s="22"/>
      <c r="J5" s="22"/>
      <c r="K5" s="22"/>
      <c r="L5" s="22"/>
      <c r="M5" s="22"/>
    </row>
    <row r="6" spans="1:13" s="328" customFormat="1" ht="15.6" customHeight="1">
      <c r="A6" s="342"/>
      <c r="B6" s="342" t="s">
        <v>64</v>
      </c>
      <c r="C6" s="342"/>
      <c r="D6" s="341"/>
      <c r="E6" s="341"/>
      <c r="F6" s="22"/>
      <c r="G6" s="22"/>
      <c r="H6" s="22"/>
      <c r="I6" s="22"/>
      <c r="J6" s="22"/>
      <c r="K6" s="22"/>
      <c r="L6" s="22"/>
      <c r="M6" s="22"/>
    </row>
    <row r="7" spans="1:13" s="328" customFormat="1">
      <c r="A7" s="1718" t="s">
        <v>2826</v>
      </c>
      <c r="B7" s="1718"/>
      <c r="C7" s="1718"/>
      <c r="D7" s="1718"/>
      <c r="E7" s="1718"/>
      <c r="F7" s="1718"/>
      <c r="G7" s="1718"/>
      <c r="H7" s="1718"/>
      <c r="I7" s="1718"/>
      <c r="J7" s="1718"/>
      <c r="K7" s="1718"/>
      <c r="L7" s="1718"/>
      <c r="M7" s="1718"/>
    </row>
    <row r="8" spans="1:13" s="328" customFormat="1">
      <c r="A8" s="1718"/>
      <c r="B8" s="1718"/>
      <c r="C8" s="1718"/>
      <c r="D8" s="1718"/>
      <c r="E8" s="1718"/>
      <c r="F8" s="1718"/>
      <c r="G8" s="1718"/>
      <c r="H8" s="1718"/>
      <c r="I8" s="1718"/>
      <c r="J8" s="1718"/>
      <c r="K8" s="1718"/>
      <c r="L8" s="1718"/>
      <c r="M8" s="1718"/>
    </row>
    <row r="9" spans="1:13" s="328" customFormat="1">
      <c r="A9" s="1718"/>
      <c r="B9" s="1718"/>
      <c r="C9" s="1718"/>
      <c r="D9" s="1718"/>
      <c r="E9" s="1718"/>
      <c r="F9" s="1718"/>
      <c r="G9" s="1718"/>
      <c r="H9" s="1718"/>
      <c r="I9" s="1718"/>
      <c r="J9" s="1718"/>
      <c r="K9" s="1718"/>
      <c r="L9" s="1718"/>
      <c r="M9" s="1718"/>
    </row>
    <row r="10" spans="1:13" s="328" customFormat="1">
      <c r="A10" s="408" t="s">
        <v>2825</v>
      </c>
      <c r="B10" s="22"/>
      <c r="C10" s="22"/>
      <c r="D10" s="22"/>
      <c r="E10" s="22"/>
      <c r="F10" s="22"/>
      <c r="G10" s="22"/>
      <c r="H10" s="22"/>
      <c r="I10" s="22"/>
      <c r="J10" s="22"/>
      <c r="K10" s="22"/>
      <c r="L10" s="22"/>
      <c r="M10" s="22"/>
    </row>
    <row r="11" spans="1:13" s="328" customFormat="1">
      <c r="A11" s="408" t="s">
        <v>2824</v>
      </c>
      <c r="B11" s="22"/>
      <c r="C11" s="22"/>
      <c r="D11" s="22"/>
      <c r="E11" s="22"/>
      <c r="F11" s="22"/>
      <c r="G11" s="22"/>
      <c r="H11" s="22"/>
      <c r="I11" s="22"/>
      <c r="J11" s="22"/>
      <c r="K11" s="22"/>
      <c r="L11" s="22"/>
      <c r="M11" s="22"/>
    </row>
    <row r="12" spans="1:13" s="328" customFormat="1">
      <c r="A12" s="408"/>
      <c r="B12" s="22"/>
      <c r="C12" s="22"/>
      <c r="D12" s="22"/>
      <c r="E12" s="22"/>
      <c r="F12" s="22"/>
      <c r="G12" s="22"/>
      <c r="H12" s="22"/>
      <c r="I12" s="22"/>
      <c r="J12" s="22"/>
      <c r="K12" s="22"/>
      <c r="L12" s="22"/>
      <c r="M12" s="22"/>
    </row>
    <row r="13" spans="1:13" s="328" customFormat="1" ht="16.2" customHeight="1">
      <c r="A13" s="1759" t="s">
        <v>2815</v>
      </c>
      <c r="B13" s="1759" t="s">
        <v>1952</v>
      </c>
      <c r="C13" s="1959" t="s">
        <v>2823</v>
      </c>
      <c r="D13" s="1959"/>
      <c r="E13" s="1959"/>
      <c r="F13" s="22"/>
      <c r="G13" s="22"/>
      <c r="H13" s="22"/>
      <c r="I13" s="22"/>
      <c r="J13" s="22"/>
      <c r="K13" s="22"/>
      <c r="L13" s="22"/>
      <c r="M13" s="22"/>
    </row>
    <row r="14" spans="1:13" s="328" customFormat="1">
      <c r="A14" s="1958"/>
      <c r="B14" s="1958"/>
      <c r="C14" s="357" t="s">
        <v>2822</v>
      </c>
      <c r="D14" s="357" t="s">
        <v>2821</v>
      </c>
      <c r="E14" s="357" t="s">
        <v>2820</v>
      </c>
      <c r="F14" s="22"/>
      <c r="G14" s="22"/>
      <c r="H14" s="22"/>
      <c r="I14" s="22"/>
      <c r="J14" s="22"/>
      <c r="K14" s="22"/>
      <c r="L14" s="22"/>
      <c r="M14" s="22"/>
    </row>
    <row r="15" spans="1:13" s="328" customFormat="1" ht="16.2">
      <c r="A15" s="370" t="s">
        <v>272</v>
      </c>
      <c r="B15" s="1643">
        <v>0.92500000000000004</v>
      </c>
      <c r="C15" s="1642">
        <v>0</v>
      </c>
      <c r="D15" s="1642">
        <v>0</v>
      </c>
      <c r="E15" s="1642">
        <v>0</v>
      </c>
      <c r="F15" s="22"/>
      <c r="G15" s="22"/>
      <c r="H15" s="342"/>
      <c r="I15" s="22"/>
      <c r="J15" s="22"/>
      <c r="K15" s="22"/>
      <c r="L15" s="22"/>
      <c r="M15" s="341"/>
    </row>
    <row r="16" spans="1:13" s="328" customFormat="1" ht="16.2">
      <c r="A16" s="370" t="s">
        <v>2647</v>
      </c>
      <c r="B16" s="1643">
        <v>3.1E-2</v>
      </c>
      <c r="C16" s="1642">
        <v>5200</v>
      </c>
      <c r="D16" s="1642">
        <v>1100</v>
      </c>
      <c r="E16" s="1642">
        <v>700</v>
      </c>
      <c r="F16" s="22"/>
      <c r="G16" s="22"/>
      <c r="H16" s="342"/>
      <c r="I16" s="22"/>
      <c r="J16" s="22"/>
      <c r="K16" s="22"/>
      <c r="L16" s="22"/>
      <c r="M16" s="341"/>
    </row>
    <row r="17" spans="1:13" s="328" customFormat="1" ht="16.2">
      <c r="A17" s="370" t="s">
        <v>2726</v>
      </c>
      <c r="B17" s="1643">
        <v>2.1999999999999999E-2</v>
      </c>
      <c r="C17" s="1642">
        <v>7500</v>
      </c>
      <c r="D17" s="1642">
        <v>4700</v>
      </c>
      <c r="E17" s="1642">
        <v>5500</v>
      </c>
      <c r="F17" s="22"/>
      <c r="G17" s="22"/>
      <c r="H17" s="342"/>
      <c r="I17" s="22"/>
      <c r="J17" s="22"/>
      <c r="K17" s="22"/>
      <c r="L17" s="22"/>
      <c r="M17" s="341"/>
    </row>
    <row r="18" spans="1:13" s="328" customFormat="1" ht="16.2">
      <c r="A18" s="370" t="s">
        <v>152</v>
      </c>
      <c r="B18" s="1643">
        <v>1.4E-2</v>
      </c>
      <c r="C18" s="1642">
        <v>7700</v>
      </c>
      <c r="D18" s="1642">
        <v>10300</v>
      </c>
      <c r="E18" s="1642">
        <v>8000</v>
      </c>
      <c r="F18" s="22"/>
      <c r="G18" s="22"/>
      <c r="H18" s="342"/>
      <c r="I18" s="22"/>
      <c r="J18" s="22"/>
      <c r="K18" s="22"/>
      <c r="L18" s="22"/>
      <c r="M18" s="341"/>
    </row>
    <row r="19" spans="1:13" s="328" customFormat="1" ht="16.2">
      <c r="A19" s="370" t="s">
        <v>2224</v>
      </c>
      <c r="B19" s="1643">
        <v>6.0000000000000001E-3</v>
      </c>
      <c r="C19" s="1642">
        <v>15300</v>
      </c>
      <c r="D19" s="1642">
        <v>11000</v>
      </c>
      <c r="E19" s="1642">
        <v>11600</v>
      </c>
      <c r="F19" s="22"/>
      <c r="G19" s="22"/>
      <c r="H19" s="342"/>
      <c r="I19" s="22"/>
      <c r="J19" s="22"/>
      <c r="K19" s="22"/>
      <c r="L19" s="22"/>
      <c r="M19" s="341"/>
    </row>
    <row r="20" spans="1:13" s="328" customFormat="1" ht="16.2">
      <c r="A20" s="370" t="s">
        <v>2646</v>
      </c>
      <c r="B20" s="1643">
        <v>2E-3</v>
      </c>
      <c r="C20" s="1642">
        <v>25600</v>
      </c>
      <c r="D20" s="1642">
        <v>11900</v>
      </c>
      <c r="E20" s="1642">
        <v>16400</v>
      </c>
      <c r="F20" s="22"/>
      <c r="G20" s="22"/>
      <c r="H20" s="342"/>
      <c r="I20" s="22"/>
      <c r="J20" s="22"/>
      <c r="K20" s="22"/>
      <c r="L20" s="22"/>
      <c r="M20" s="341"/>
    </row>
    <row r="21" spans="1:13" s="328" customFormat="1" ht="16.2">
      <c r="A21" s="408"/>
      <c r="B21" s="1641"/>
      <c r="C21" s="22"/>
      <c r="D21" s="22"/>
      <c r="E21" s="22"/>
      <c r="F21" s="22"/>
      <c r="G21" s="22"/>
      <c r="H21" s="342"/>
      <c r="I21" s="22"/>
      <c r="J21" s="22"/>
      <c r="K21" s="22"/>
      <c r="L21" s="22"/>
      <c r="M21" s="22"/>
    </row>
    <row r="22" spans="1:13" s="328" customFormat="1" ht="16.2">
      <c r="A22" s="1459" t="s">
        <v>2819</v>
      </c>
      <c r="B22" s="1639"/>
      <c r="C22" s="1639"/>
      <c r="D22" s="1638"/>
      <c r="E22" s="1637"/>
      <c r="F22" s="22"/>
      <c r="G22" s="22"/>
      <c r="H22" s="342"/>
      <c r="I22" s="22"/>
      <c r="J22" s="22"/>
      <c r="K22" s="22"/>
      <c r="L22" s="324"/>
      <c r="M22" s="1640" t="s">
        <v>2818</v>
      </c>
    </row>
    <row r="23" spans="1:13" s="328" customFormat="1" ht="16.2">
      <c r="A23" s="1639"/>
      <c r="B23" s="1639"/>
      <c r="C23" s="1639"/>
      <c r="D23" s="1638"/>
      <c r="E23" s="1637"/>
      <c r="F23" s="22"/>
      <c r="G23" s="22"/>
      <c r="H23" s="342"/>
      <c r="I23" s="22"/>
      <c r="J23" s="22"/>
      <c r="K23" s="22"/>
      <c r="L23" s="324"/>
      <c r="M23" s="498">
        <v>1E-4</v>
      </c>
    </row>
    <row r="24" spans="1:13" s="328" customFormat="1">
      <c r="A24" s="22" t="s">
        <v>9</v>
      </c>
      <c r="B24" s="22" t="s">
        <v>2817</v>
      </c>
      <c r="C24" s="22"/>
      <c r="D24" s="22"/>
      <c r="E24" s="22"/>
      <c r="F24" s="22"/>
      <c r="G24" s="22"/>
      <c r="H24" s="22"/>
      <c r="I24" s="22"/>
      <c r="J24" s="22"/>
      <c r="K24" s="22"/>
      <c r="L24" s="22"/>
      <c r="M24" s="22"/>
    </row>
    <row r="25" spans="1:13" s="328" customFormat="1" ht="16.2">
      <c r="A25" s="342"/>
      <c r="B25" s="342" t="s">
        <v>64</v>
      </c>
      <c r="C25" s="342"/>
      <c r="D25" s="341"/>
      <c r="E25" s="341"/>
      <c r="F25" s="22"/>
      <c r="G25" s="22"/>
      <c r="H25" s="22"/>
      <c r="I25" s="22"/>
      <c r="J25" s="22"/>
      <c r="K25" s="22"/>
      <c r="L25" s="22"/>
      <c r="M25" s="22"/>
    </row>
    <row r="26" spans="1:13" s="328" customFormat="1" ht="16.2">
      <c r="A26" s="1636"/>
      <c r="B26" s="1636"/>
      <c r="C26" s="1636"/>
      <c r="D26" s="493"/>
      <c r="E26" s="493"/>
    </row>
    <row r="27" spans="1:13" s="328" customFormat="1">
      <c r="A27" s="352" t="s">
        <v>2815</v>
      </c>
      <c r="B27" s="245" t="s">
        <v>1952</v>
      </c>
      <c r="C27" s="245" t="s">
        <v>2814</v>
      </c>
      <c r="D27" s="245" t="s">
        <v>2813</v>
      </c>
      <c r="E27" s="245" t="s">
        <v>2812</v>
      </c>
      <c r="F27" s="245" t="s">
        <v>2811</v>
      </c>
    </row>
    <row r="28" spans="1:13" s="328" customFormat="1">
      <c r="A28" s="352" t="str">
        <f t="shared" ref="A28:E33" si="0">A15</f>
        <v>P</v>
      </c>
      <c r="B28" s="938">
        <f t="shared" si="0"/>
        <v>0.92500000000000004</v>
      </c>
      <c r="C28" s="1634">
        <f t="shared" si="0"/>
        <v>0</v>
      </c>
      <c r="D28" s="1634">
        <f t="shared" si="0"/>
        <v>0</v>
      </c>
      <c r="E28" s="1634">
        <f t="shared" si="0"/>
        <v>0</v>
      </c>
      <c r="F28" s="1634">
        <f t="shared" ref="F28:F33" si="1">SUM(C28:E28)</f>
        <v>0</v>
      </c>
    </row>
    <row r="29" spans="1:13" s="328" customFormat="1">
      <c r="A29" s="352" t="str">
        <f t="shared" si="0"/>
        <v>Q</v>
      </c>
      <c r="B29" s="938">
        <f t="shared" si="0"/>
        <v>3.1E-2</v>
      </c>
      <c r="C29" s="1634">
        <f t="shared" si="0"/>
        <v>5200</v>
      </c>
      <c r="D29" s="1634">
        <f t="shared" si="0"/>
        <v>1100</v>
      </c>
      <c r="E29" s="1634">
        <f t="shared" si="0"/>
        <v>700</v>
      </c>
      <c r="F29" s="1634">
        <f t="shared" si="1"/>
        <v>7000</v>
      </c>
    </row>
    <row r="30" spans="1:13" s="328" customFormat="1">
      <c r="A30" s="352" t="str">
        <f t="shared" si="0"/>
        <v>R</v>
      </c>
      <c r="B30" s="938">
        <f t="shared" si="0"/>
        <v>2.1999999999999999E-2</v>
      </c>
      <c r="C30" s="1634">
        <f t="shared" si="0"/>
        <v>7500</v>
      </c>
      <c r="D30" s="1634">
        <f t="shared" si="0"/>
        <v>4700</v>
      </c>
      <c r="E30" s="1634">
        <f t="shared" si="0"/>
        <v>5500</v>
      </c>
      <c r="F30" s="1634">
        <f t="shared" si="1"/>
        <v>17700</v>
      </c>
    </row>
    <row r="31" spans="1:13" s="328" customFormat="1">
      <c r="A31" s="352" t="str">
        <f t="shared" si="0"/>
        <v>S</v>
      </c>
      <c r="B31" s="938">
        <f t="shared" si="0"/>
        <v>1.4E-2</v>
      </c>
      <c r="C31" s="1634">
        <f t="shared" si="0"/>
        <v>7700</v>
      </c>
      <c r="D31" s="1634">
        <f t="shared" si="0"/>
        <v>10300</v>
      </c>
      <c r="E31" s="1634">
        <f t="shared" si="0"/>
        <v>8000</v>
      </c>
      <c r="F31" s="1634">
        <f t="shared" si="1"/>
        <v>26000</v>
      </c>
    </row>
    <row r="32" spans="1:13" s="328" customFormat="1">
      <c r="A32" s="352" t="str">
        <f t="shared" si="0"/>
        <v>T</v>
      </c>
      <c r="B32" s="938">
        <f t="shared" si="0"/>
        <v>6.0000000000000001E-3</v>
      </c>
      <c r="C32" s="1634">
        <f t="shared" si="0"/>
        <v>15300</v>
      </c>
      <c r="D32" s="1634">
        <f t="shared" si="0"/>
        <v>11000</v>
      </c>
      <c r="E32" s="1634">
        <f t="shared" si="0"/>
        <v>11600</v>
      </c>
      <c r="F32" s="1634">
        <f t="shared" si="1"/>
        <v>37900</v>
      </c>
    </row>
    <row r="33" spans="1:13" s="328" customFormat="1">
      <c r="A33" s="352" t="str">
        <f t="shared" si="0"/>
        <v>U</v>
      </c>
      <c r="B33" s="938">
        <f t="shared" si="0"/>
        <v>2E-3</v>
      </c>
      <c r="C33" s="1634">
        <f t="shared" si="0"/>
        <v>25600</v>
      </c>
      <c r="D33" s="1634">
        <f t="shared" si="0"/>
        <v>11900</v>
      </c>
      <c r="E33" s="1634">
        <f t="shared" si="0"/>
        <v>16400</v>
      </c>
      <c r="F33" s="1634">
        <f t="shared" si="1"/>
        <v>53900</v>
      </c>
    </row>
    <row r="34" spans="1:13" s="328" customFormat="1">
      <c r="A34" s="37"/>
      <c r="B34" s="37"/>
      <c r="C34" s="37"/>
      <c r="D34" s="37"/>
      <c r="E34" s="37"/>
      <c r="F34" s="37"/>
    </row>
    <row r="35" spans="1:13" s="328" customFormat="1">
      <c r="A35" s="37" t="s">
        <v>1986</v>
      </c>
      <c r="B35" s="1634" cm="1">
        <f t="array" ref="B35">SUMPRODUCT(B28:B33*F28:F33)</f>
        <v>1305.5999999999999</v>
      </c>
      <c r="C35" s="37"/>
      <c r="D35" s="37"/>
      <c r="E35" s="37"/>
      <c r="F35" s="37"/>
    </row>
    <row r="36" spans="1:13" s="328" customFormat="1">
      <c r="A36" s="37" t="s">
        <v>460</v>
      </c>
      <c r="B36" s="1634" cm="1">
        <f t="array" ref="B36">SUMPRODUCT(B28:B33*F28:F33*F28:F33)-B35^2</f>
        <v>30599668.640000001</v>
      </c>
      <c r="C36" s="37"/>
      <c r="D36" s="37"/>
      <c r="E36" s="37"/>
      <c r="F36" s="37"/>
    </row>
    <row r="37" spans="1:13" s="328" customFormat="1">
      <c r="A37" s="174" t="s">
        <v>1936</v>
      </c>
      <c r="B37" s="1635">
        <f>B35+M23*B36</f>
        <v>4365.5668640000004</v>
      </c>
      <c r="C37" s="37"/>
      <c r="D37" s="37"/>
      <c r="E37" s="37"/>
      <c r="F37" s="37"/>
      <c r="G37" s="1143"/>
      <c r="H37" s="37"/>
      <c r="I37" s="37"/>
      <c r="J37" s="37"/>
      <c r="K37" s="37"/>
      <c r="L37" s="37"/>
      <c r="M37" s="37"/>
    </row>
    <row r="38" spans="1:13" s="328" customFormat="1">
      <c r="A38" s="37"/>
      <c r="B38" s="938"/>
      <c r="C38" s="1634"/>
      <c r="D38" s="1634"/>
      <c r="E38" s="1634"/>
      <c r="F38" s="1634"/>
      <c r="G38" s="1634"/>
      <c r="H38" s="37"/>
      <c r="I38" s="37"/>
      <c r="J38" s="37"/>
      <c r="K38" s="37"/>
      <c r="L38" s="37"/>
      <c r="M38" s="37"/>
    </row>
    <row r="39" spans="1:13" s="328" customFormat="1">
      <c r="A39" s="22" t="s">
        <v>7</v>
      </c>
      <c r="B39" s="22" t="s">
        <v>2816</v>
      </c>
      <c r="C39" s="22"/>
      <c r="D39" s="22"/>
      <c r="E39" s="22"/>
      <c r="F39" s="22"/>
      <c r="G39" s="22"/>
      <c r="H39" s="22"/>
      <c r="I39" s="22"/>
      <c r="J39" s="22"/>
      <c r="K39" s="22"/>
      <c r="L39" s="22"/>
      <c r="M39" s="22"/>
    </row>
    <row r="40" spans="1:13" s="328" customFormat="1" ht="16.2">
      <c r="A40" s="1055"/>
      <c r="B40" s="342" t="s">
        <v>64</v>
      </c>
      <c r="C40" s="342"/>
      <c r="D40" s="341"/>
      <c r="E40" s="341"/>
      <c r="F40" s="22"/>
      <c r="G40" s="22"/>
      <c r="H40" s="22"/>
      <c r="I40" s="22"/>
      <c r="J40" s="22"/>
      <c r="K40" s="22"/>
      <c r="L40" s="22"/>
      <c r="M40" s="22"/>
    </row>
    <row r="41" spans="1:13">
      <c r="A41" s="37"/>
      <c r="B41" s="37"/>
      <c r="C41" s="37"/>
      <c r="D41" s="37"/>
      <c r="E41" s="37"/>
      <c r="F41" s="37"/>
      <c r="G41" s="571" t="s">
        <v>2675</v>
      </c>
      <c r="H41" s="571" t="s">
        <v>2675</v>
      </c>
      <c r="I41" s="571" t="s">
        <v>2675</v>
      </c>
      <c r="J41" s="37"/>
      <c r="K41" s="37"/>
      <c r="L41" s="37"/>
      <c r="M41" s="37"/>
    </row>
    <row r="42" spans="1:13">
      <c r="A42" s="37" t="s">
        <v>2815</v>
      </c>
      <c r="B42" s="37" t="s">
        <v>1952</v>
      </c>
      <c r="C42" s="37" t="s">
        <v>2814</v>
      </c>
      <c r="D42" s="37" t="s">
        <v>2813</v>
      </c>
      <c r="E42" s="37" t="s">
        <v>2812</v>
      </c>
      <c r="F42" s="37" t="s">
        <v>2811</v>
      </c>
      <c r="G42" s="571" t="s">
        <v>2803</v>
      </c>
      <c r="H42" s="571" t="s">
        <v>2802</v>
      </c>
      <c r="I42" s="571" t="s">
        <v>2801</v>
      </c>
      <c r="J42" s="37"/>
      <c r="K42" s="37" t="s">
        <v>2810</v>
      </c>
      <c r="L42" s="37"/>
      <c r="M42" s="37"/>
    </row>
    <row r="43" spans="1:13" ht="16.2" customHeight="1">
      <c r="A43" s="37" t="str">
        <f t="shared" ref="A43:E48" si="2">A28</f>
        <v>P</v>
      </c>
      <c r="B43" s="938">
        <f t="shared" si="2"/>
        <v>0.92500000000000004</v>
      </c>
      <c r="C43" s="1634">
        <f t="shared" si="2"/>
        <v>0</v>
      </c>
      <c r="D43" s="1634">
        <f t="shared" si="2"/>
        <v>0</v>
      </c>
      <c r="E43" s="1634">
        <f t="shared" si="2"/>
        <v>0</v>
      </c>
      <c r="F43" s="1634">
        <f t="shared" ref="F43:F48" si="3">SUM(C43:E43)</f>
        <v>0</v>
      </c>
      <c r="G43" s="1634">
        <f t="shared" ref="G43:G48" si="4">SUM(C43:D43)</f>
        <v>0</v>
      </c>
      <c r="H43" s="1634">
        <f t="shared" ref="H43:H48" si="5">C43+E43</f>
        <v>0</v>
      </c>
      <c r="I43" s="1634">
        <f t="shared" ref="I43:I48" si="6">SUM(D43:E43)</f>
        <v>0</v>
      </c>
      <c r="J43" s="37"/>
      <c r="K43" s="571" t="s">
        <v>2809</v>
      </c>
      <c r="L43" s="1634">
        <f>(G52-C52-D52)/2</f>
        <v>3467884.5</v>
      </c>
      <c r="M43" s="37"/>
    </row>
    <row r="44" spans="1:13" ht="15.6" customHeight="1">
      <c r="A44" s="37" t="str">
        <f t="shared" si="2"/>
        <v>Q</v>
      </c>
      <c r="B44" s="938">
        <f t="shared" si="2"/>
        <v>3.1E-2</v>
      </c>
      <c r="C44" s="1634">
        <f t="shared" si="2"/>
        <v>5200</v>
      </c>
      <c r="D44" s="1634">
        <f t="shared" si="2"/>
        <v>1100</v>
      </c>
      <c r="E44" s="1634">
        <f t="shared" si="2"/>
        <v>700</v>
      </c>
      <c r="F44" s="1634">
        <f t="shared" si="3"/>
        <v>7000</v>
      </c>
      <c r="G44" s="1634">
        <f t="shared" si="4"/>
        <v>6300</v>
      </c>
      <c r="H44" s="1634">
        <f t="shared" si="5"/>
        <v>5900</v>
      </c>
      <c r="I44" s="1634">
        <f t="shared" si="6"/>
        <v>1800</v>
      </c>
      <c r="J44" s="37"/>
      <c r="K44" s="571" t="s">
        <v>2808</v>
      </c>
      <c r="L44" s="1634">
        <f>(H52-C52-E52)/2</f>
        <v>3581253.3</v>
      </c>
      <c r="M44" s="37"/>
    </row>
    <row r="45" spans="1:13" ht="15.6" customHeight="1">
      <c r="A45" s="37" t="str">
        <f t="shared" si="2"/>
        <v>R</v>
      </c>
      <c r="B45" s="938">
        <f t="shared" si="2"/>
        <v>2.1999999999999999E-2</v>
      </c>
      <c r="C45" s="1634">
        <f t="shared" si="2"/>
        <v>7500</v>
      </c>
      <c r="D45" s="1634">
        <f t="shared" si="2"/>
        <v>4700</v>
      </c>
      <c r="E45" s="1634">
        <f t="shared" si="2"/>
        <v>5500</v>
      </c>
      <c r="F45" s="1634">
        <f t="shared" si="3"/>
        <v>17700</v>
      </c>
      <c r="G45" s="1634">
        <f t="shared" si="4"/>
        <v>12200</v>
      </c>
      <c r="H45" s="1634">
        <f t="shared" si="5"/>
        <v>13000</v>
      </c>
      <c r="I45" s="1634">
        <f t="shared" si="6"/>
        <v>10200</v>
      </c>
      <c r="J45" s="37"/>
      <c r="K45" s="571" t="s">
        <v>2807</v>
      </c>
      <c r="L45" s="1634">
        <f>(I52-D52-E52)/2</f>
        <v>2769427.3499999996</v>
      </c>
      <c r="M45" s="37"/>
    </row>
    <row r="46" spans="1:13">
      <c r="A46" s="37" t="str">
        <f t="shared" si="2"/>
        <v>S</v>
      </c>
      <c r="B46" s="938">
        <f t="shared" si="2"/>
        <v>1.4E-2</v>
      </c>
      <c r="C46" s="1634">
        <f t="shared" si="2"/>
        <v>7700</v>
      </c>
      <c r="D46" s="1634">
        <f t="shared" si="2"/>
        <v>10300</v>
      </c>
      <c r="E46" s="1634">
        <f t="shared" si="2"/>
        <v>8000</v>
      </c>
      <c r="F46" s="1634">
        <f t="shared" si="3"/>
        <v>26000</v>
      </c>
      <c r="G46" s="1634">
        <f t="shared" si="4"/>
        <v>18000</v>
      </c>
      <c r="H46" s="1634">
        <f t="shared" si="5"/>
        <v>15700</v>
      </c>
      <c r="I46" s="1634">
        <f t="shared" si="6"/>
        <v>18300</v>
      </c>
      <c r="J46" s="37"/>
      <c r="K46" s="37"/>
      <c r="L46" s="37"/>
      <c r="M46" s="37"/>
    </row>
    <row r="47" spans="1:13">
      <c r="A47" s="37" t="str">
        <f t="shared" si="2"/>
        <v>T</v>
      </c>
      <c r="B47" s="938">
        <f t="shared" si="2"/>
        <v>6.0000000000000001E-3</v>
      </c>
      <c r="C47" s="1634">
        <f t="shared" si="2"/>
        <v>15300</v>
      </c>
      <c r="D47" s="1634">
        <f t="shared" si="2"/>
        <v>11000</v>
      </c>
      <c r="E47" s="1634">
        <f t="shared" si="2"/>
        <v>11600</v>
      </c>
      <c r="F47" s="1634">
        <f t="shared" si="3"/>
        <v>37900</v>
      </c>
      <c r="G47" s="1634">
        <f t="shared" si="4"/>
        <v>26300</v>
      </c>
      <c r="H47" s="1634">
        <f t="shared" si="5"/>
        <v>26900</v>
      </c>
      <c r="I47" s="1634">
        <f t="shared" si="6"/>
        <v>22600</v>
      </c>
      <c r="J47" s="37"/>
      <c r="K47" s="37"/>
      <c r="L47" s="37"/>
      <c r="M47" s="37"/>
    </row>
    <row r="48" spans="1:13">
      <c r="A48" s="37" t="str">
        <f t="shared" si="2"/>
        <v>U</v>
      </c>
      <c r="B48" s="938">
        <f t="shared" si="2"/>
        <v>2E-3</v>
      </c>
      <c r="C48" s="1634">
        <f t="shared" si="2"/>
        <v>25600</v>
      </c>
      <c r="D48" s="1634">
        <f t="shared" si="2"/>
        <v>11900</v>
      </c>
      <c r="E48" s="1634">
        <f t="shared" si="2"/>
        <v>16400</v>
      </c>
      <c r="F48" s="1634">
        <f t="shared" si="3"/>
        <v>53900</v>
      </c>
      <c r="G48" s="1634">
        <f t="shared" si="4"/>
        <v>37500</v>
      </c>
      <c r="H48" s="1634">
        <f t="shared" si="5"/>
        <v>42000</v>
      </c>
      <c r="I48" s="1634">
        <f t="shared" si="6"/>
        <v>28300</v>
      </c>
      <c r="J48" s="37"/>
      <c r="K48" s="37"/>
      <c r="L48" s="37"/>
      <c r="M48" s="37"/>
    </row>
    <row r="49" spans="1:13">
      <c r="A49" s="37"/>
      <c r="B49" s="938"/>
      <c r="C49" s="1634"/>
      <c r="D49" s="1634"/>
      <c r="E49" s="1634"/>
      <c r="F49" s="1634"/>
      <c r="G49" s="1634"/>
      <c r="H49" s="1634"/>
      <c r="I49" s="1634"/>
      <c r="J49" s="37"/>
      <c r="K49" s="37"/>
      <c r="L49" s="37"/>
      <c r="M49" s="37"/>
    </row>
    <row r="50" spans="1:13">
      <c r="A50" s="37"/>
      <c r="B50" s="37"/>
      <c r="C50" s="327" t="s">
        <v>2806</v>
      </c>
      <c r="D50" s="327" t="s">
        <v>2805</v>
      </c>
      <c r="E50" s="327" t="s">
        <v>2804</v>
      </c>
      <c r="F50" s="571" t="s">
        <v>2799</v>
      </c>
      <c r="G50" s="571" t="s">
        <v>2803</v>
      </c>
      <c r="H50" s="571" t="s">
        <v>2802</v>
      </c>
      <c r="I50" s="571" t="s">
        <v>2801</v>
      </c>
      <c r="J50" s="37"/>
      <c r="K50" s="37"/>
      <c r="L50" s="37"/>
      <c r="M50" s="37"/>
    </row>
    <row r="51" spans="1:13">
      <c r="A51" s="37" t="s">
        <v>1986</v>
      </c>
      <c r="B51" s="1634"/>
      <c r="C51" s="1634" cm="1">
        <f t="array" ref="C51">SUMPRODUCT($B43:$B48*C43:C48)</f>
        <v>577</v>
      </c>
      <c r="D51" s="1634" cm="1">
        <f t="array" ref="D51">SUMPRODUCT($B43:$B48*D43:D48)</f>
        <v>371.50000000000006</v>
      </c>
      <c r="E51" s="1634" cm="1">
        <f t="array" ref="E51">SUMPRODUCT($B43:$B48*E43:E48)</f>
        <v>357.1</v>
      </c>
      <c r="F51" s="1634" cm="1">
        <f t="array" ref="F51">SUMPRODUCT($B43:$B48*F43:F48)</f>
        <v>1305.5999999999999</v>
      </c>
      <c r="G51" s="1634" cm="1">
        <f t="array" ref="G51">SUMPRODUCT($B43:$B48*G43:G48)</f>
        <v>948.5</v>
      </c>
      <c r="H51" s="1634" cm="1">
        <f t="array" ref="H51">SUMPRODUCT($B43:$B48*H43:H48)</f>
        <v>934.1</v>
      </c>
      <c r="I51" s="1634" cm="1">
        <f t="array" ref="I51">SUMPRODUCT($B43:$B48*I43:I48)</f>
        <v>728.6</v>
      </c>
      <c r="J51" s="37"/>
      <c r="K51" s="37"/>
      <c r="L51" s="37"/>
      <c r="M51" s="37"/>
    </row>
    <row r="52" spans="1:13">
      <c r="A52" s="37" t="s">
        <v>460</v>
      </c>
      <c r="B52" s="1634"/>
      <c r="C52" s="1634" cm="1">
        <f t="array" ref="C52">SUMPRODUCT($B43:$B48*C43:C48*C43:C48)-C51^2</f>
        <v>5288131</v>
      </c>
      <c r="D52" s="1634" cm="1">
        <f t="array" ref="D52">SUMPRODUCT($B43:$B48*D43:D48*D43:D48)-D51^2</f>
        <v>2879957.75</v>
      </c>
      <c r="E52" s="1634" cm="1">
        <f t="array" ref="E52">SUMPRODUCT($B43:$B48*E43:E48*E43:E48)-E51^2</f>
        <v>2794449.59</v>
      </c>
      <c r="F52" s="1634" cm="1">
        <f t="array" ref="F52">SUMPRODUCT($B43:$B48*F43:F48*F43:F48)-F51^2</f>
        <v>30599668.640000001</v>
      </c>
      <c r="G52" s="1634" cm="1">
        <f t="array" ref="G52">SUMPRODUCT($B43:$B48*G43:G48*G43:G48)-G51^2</f>
        <v>15103857.75</v>
      </c>
      <c r="H52" s="1634" cm="1">
        <f t="array" ref="H52">SUMPRODUCT($B43:$B48*H43:H48*H43:H48)-H51^2</f>
        <v>15245087.189999999</v>
      </c>
      <c r="I52" s="1634" cm="1">
        <f t="array" ref="I52">SUMPRODUCT($B43:$B48*I43:I48*I43:I48)-I51^2</f>
        <v>11213262.039999999</v>
      </c>
      <c r="J52" s="37"/>
      <c r="K52" s="37"/>
      <c r="L52" s="37"/>
      <c r="M52" s="37"/>
    </row>
    <row r="53" spans="1:13">
      <c r="A53" s="37" t="s">
        <v>2701</v>
      </c>
      <c r="B53" s="37"/>
      <c r="C53" s="1634">
        <f>C52+L43+L44</f>
        <v>12337268.800000001</v>
      </c>
      <c r="D53" s="1634">
        <f>D52+L43+L45</f>
        <v>9117269.5999999996</v>
      </c>
      <c r="E53" s="1634">
        <f>E52+L44+L45</f>
        <v>9145130.2399999984</v>
      </c>
      <c r="F53" s="37"/>
      <c r="G53" s="37"/>
      <c r="H53" s="37"/>
      <c r="I53" s="37"/>
      <c r="J53" s="37"/>
      <c r="K53" s="37"/>
      <c r="L53" s="37"/>
      <c r="M53" s="37"/>
    </row>
    <row r="54" spans="1:13">
      <c r="A54" s="37" t="s">
        <v>2628</v>
      </c>
      <c r="B54" s="37"/>
      <c r="C54" s="1634">
        <f>C53*$M$23</f>
        <v>1233.7268800000002</v>
      </c>
      <c r="D54" s="1634">
        <f>D53*$M$23</f>
        <v>911.72695999999996</v>
      </c>
      <c r="E54" s="1634">
        <f>E53*$M$23</f>
        <v>914.51302399999986</v>
      </c>
      <c r="F54" s="37"/>
      <c r="G54" s="37"/>
      <c r="H54" s="37"/>
      <c r="I54" s="37"/>
      <c r="J54" s="37"/>
      <c r="K54" s="37"/>
      <c r="L54" s="37"/>
      <c r="M54" s="37"/>
    </row>
    <row r="55" spans="1:13">
      <c r="A55" s="538" t="s">
        <v>1936</v>
      </c>
      <c r="B55" s="718"/>
      <c r="C55" s="1635">
        <f>C51+C54</f>
        <v>1810.7268800000002</v>
      </c>
      <c r="D55" s="1635">
        <f>D51+D54</f>
        <v>1283.22696</v>
      </c>
      <c r="E55" s="1635">
        <f>E51+E54</f>
        <v>1271.6130239999998</v>
      </c>
      <c r="F55" s="37"/>
      <c r="G55" s="37"/>
      <c r="H55" s="37"/>
      <c r="I55" s="37"/>
      <c r="J55" s="37"/>
      <c r="K55" s="37"/>
      <c r="L55" s="37"/>
      <c r="M55" s="37"/>
    </row>
    <row r="56" spans="1:13">
      <c r="A56" s="37"/>
      <c r="B56" s="938"/>
      <c r="C56" s="1634"/>
      <c r="D56" s="1634"/>
      <c r="E56" s="1634"/>
      <c r="F56" s="1634"/>
      <c r="G56" s="1634"/>
      <c r="H56" s="1634"/>
      <c r="I56" s="1634"/>
      <c r="J56" s="37"/>
      <c r="K56" s="571"/>
      <c r="L56" s="1634"/>
      <c r="M56" s="37"/>
    </row>
    <row r="57" spans="1:13" ht="16.2" customHeight="1">
      <c r="A57" s="22" t="s">
        <v>4</v>
      </c>
      <c r="B57" s="22" t="s">
        <v>2800</v>
      </c>
      <c r="C57" s="22"/>
      <c r="D57" s="22"/>
      <c r="E57" s="22"/>
      <c r="F57" s="22"/>
      <c r="G57" s="22"/>
      <c r="H57" s="22"/>
      <c r="I57" s="22"/>
      <c r="J57" s="22"/>
      <c r="K57" s="22"/>
      <c r="L57" s="22"/>
      <c r="M57" s="22"/>
    </row>
    <row r="58" spans="1:13" ht="16.2">
      <c r="A58" s="342"/>
      <c r="B58" s="342" t="s">
        <v>64</v>
      </c>
      <c r="C58" s="342"/>
      <c r="D58" s="341"/>
      <c r="E58" s="341"/>
      <c r="F58" s="22"/>
      <c r="G58" s="22"/>
      <c r="H58" s="22"/>
      <c r="I58" s="22"/>
      <c r="J58" s="22"/>
      <c r="K58" s="22"/>
      <c r="L58" s="22"/>
      <c r="M58" s="22"/>
    </row>
    <row r="59" spans="1:13">
      <c r="A59" s="37"/>
      <c r="B59" s="37"/>
      <c r="C59" s="37"/>
      <c r="D59" s="37"/>
      <c r="E59" s="37"/>
      <c r="F59" s="37"/>
      <c r="G59" s="37"/>
      <c r="H59" s="37"/>
      <c r="I59" s="37"/>
      <c r="J59" s="37"/>
      <c r="K59" s="37"/>
      <c r="L59" s="37"/>
      <c r="M59" s="37"/>
    </row>
    <row r="60" spans="1:13">
      <c r="A60" s="37"/>
      <c r="B60" s="37"/>
      <c r="C60" s="37" t="s">
        <v>1936</v>
      </c>
      <c r="D60" s="37"/>
      <c r="E60" s="37"/>
      <c r="F60" s="37"/>
      <c r="G60" s="37"/>
      <c r="H60" s="37"/>
      <c r="I60" s="37"/>
      <c r="J60" s="37"/>
      <c r="K60" s="37"/>
      <c r="L60" s="37"/>
      <c r="M60" s="37"/>
    </row>
    <row r="61" spans="1:13" ht="16.2" customHeight="1">
      <c r="A61" s="37"/>
      <c r="B61" s="245" t="s">
        <v>2799</v>
      </c>
      <c r="C61" s="1634">
        <f>B37</f>
        <v>4365.5668640000004</v>
      </c>
      <c r="D61" s="1633" t="s">
        <v>2798</v>
      </c>
      <c r="E61" s="37"/>
      <c r="F61" s="1633"/>
      <c r="G61" s="1633"/>
      <c r="H61" s="37"/>
      <c r="I61" s="37"/>
      <c r="J61" s="37"/>
      <c r="K61" s="37"/>
      <c r="L61" s="37"/>
      <c r="M61" s="37"/>
    </row>
    <row r="62" spans="1:13" ht="15.6" customHeight="1">
      <c r="A62" s="37"/>
      <c r="B62" s="245" t="s">
        <v>2797</v>
      </c>
      <c r="C62" s="1634">
        <f>SUM(C55:E55)</f>
        <v>4365.5668640000004</v>
      </c>
      <c r="D62" s="1633" t="s">
        <v>2796</v>
      </c>
      <c r="E62" s="37"/>
      <c r="F62" s="1633"/>
      <c r="G62" s="1633"/>
      <c r="H62" s="37"/>
      <c r="I62" s="37"/>
      <c r="J62" s="37"/>
      <c r="K62" s="37"/>
      <c r="L62" s="37"/>
      <c r="M62" s="37"/>
    </row>
    <row r="63" spans="1:13">
      <c r="A63" s="37"/>
      <c r="B63" s="245"/>
      <c r="C63" s="37"/>
      <c r="D63" s="37"/>
      <c r="E63" s="37"/>
      <c r="F63" s="37"/>
      <c r="G63" s="37"/>
      <c r="H63" s="37"/>
      <c r="I63" s="37"/>
      <c r="J63" s="37"/>
      <c r="K63" s="37"/>
      <c r="L63" s="37"/>
      <c r="M63" s="37"/>
    </row>
    <row r="64" spans="1:13">
      <c r="A64" s="37" t="s">
        <v>2795</v>
      </c>
      <c r="B64" s="37"/>
      <c r="C64" s="37"/>
      <c r="D64" s="571"/>
      <c r="E64" s="571"/>
      <c r="F64" s="571"/>
      <c r="G64" s="37"/>
      <c r="H64" s="37"/>
      <c r="I64" s="37"/>
      <c r="J64" s="37"/>
      <c r="K64" s="37"/>
      <c r="L64" s="37"/>
      <c r="M64" s="37"/>
    </row>
    <row r="65" spans="1:13">
      <c r="A65" s="37" t="s">
        <v>2794</v>
      </c>
      <c r="B65" s="37"/>
      <c r="C65" s="37"/>
      <c r="D65" s="1632"/>
      <c r="E65" s="1632"/>
      <c r="F65" s="1632"/>
      <c r="G65" s="37"/>
      <c r="H65" s="37"/>
      <c r="I65" s="37"/>
      <c r="J65" s="37"/>
      <c r="K65" s="37"/>
      <c r="L65" s="37"/>
      <c r="M65" s="37"/>
    </row>
    <row r="66" spans="1:13">
      <c r="A66" s="37"/>
      <c r="B66" s="37"/>
      <c r="C66" s="190"/>
      <c r="D66" s="1632"/>
      <c r="E66" s="1632"/>
      <c r="F66" s="1632"/>
      <c r="G66" s="37"/>
      <c r="H66" s="37"/>
      <c r="I66" s="37"/>
      <c r="J66" s="37"/>
      <c r="K66" s="37"/>
      <c r="L66" s="37"/>
      <c r="M66" s="37"/>
    </row>
    <row r="67" spans="1:13">
      <c r="A67" s="37"/>
      <c r="B67" s="37"/>
      <c r="C67" s="37"/>
      <c r="D67" s="1632"/>
      <c r="E67" s="1632"/>
      <c r="F67" s="1632"/>
      <c r="G67" s="37"/>
      <c r="H67" s="37"/>
      <c r="I67" s="37"/>
      <c r="J67" s="37"/>
      <c r="K67" s="37"/>
      <c r="L67" s="37"/>
      <c r="M67" s="37"/>
    </row>
    <row r="68" spans="1:13">
      <c r="A68" s="37"/>
      <c r="B68" s="37"/>
      <c r="C68" s="37"/>
      <c r="D68" s="1631"/>
      <c r="E68" s="1631"/>
      <c r="F68" s="1631"/>
      <c r="G68" s="37"/>
      <c r="H68" s="37"/>
      <c r="I68" s="37"/>
      <c r="J68" s="37"/>
      <c r="K68" s="37"/>
      <c r="L68" s="37"/>
      <c r="M68" s="37"/>
    </row>
    <row r="69" spans="1:13">
      <c r="A69" s="37"/>
      <c r="B69" s="37"/>
      <c r="C69" s="37"/>
      <c r="D69" s="37"/>
      <c r="E69" s="37"/>
      <c r="F69" s="37"/>
      <c r="G69" s="37"/>
      <c r="H69" s="37"/>
      <c r="I69" s="37"/>
      <c r="J69" s="37"/>
      <c r="K69" s="37"/>
      <c r="L69" s="37"/>
      <c r="M69" s="37"/>
    </row>
    <row r="70" spans="1:13">
      <c r="A70" s="37"/>
      <c r="B70" s="37"/>
      <c r="C70" s="37"/>
      <c r="D70" s="37"/>
      <c r="E70" s="37"/>
      <c r="F70" s="37"/>
      <c r="G70" s="37"/>
      <c r="H70" s="37"/>
      <c r="I70" s="37"/>
      <c r="J70" s="37"/>
      <c r="K70" s="37"/>
      <c r="L70" s="37"/>
      <c r="M70" s="37"/>
    </row>
    <row r="71" spans="1:13">
      <c r="A71" s="37"/>
      <c r="B71" s="37"/>
      <c r="C71" s="37"/>
      <c r="D71" s="37"/>
      <c r="E71" s="37"/>
      <c r="F71" s="37"/>
      <c r="G71" s="37"/>
      <c r="H71" s="37"/>
      <c r="I71" s="37"/>
      <c r="J71" s="37"/>
      <c r="K71" s="37"/>
      <c r="L71" s="37"/>
      <c r="M71" s="37"/>
    </row>
    <row r="72" spans="1:13">
      <c r="A72" s="37"/>
      <c r="B72" s="37"/>
      <c r="C72" s="37"/>
      <c r="D72" s="37"/>
      <c r="E72" s="37"/>
      <c r="F72" s="37"/>
      <c r="G72" s="37"/>
      <c r="H72" s="37"/>
      <c r="I72" s="37"/>
      <c r="J72" s="37"/>
      <c r="K72" s="37"/>
      <c r="L72" s="37"/>
      <c r="M72" s="37"/>
    </row>
    <row r="73" spans="1:13">
      <c r="A73" s="37"/>
      <c r="B73" s="37"/>
      <c r="C73" s="37"/>
      <c r="D73" s="37"/>
      <c r="E73" s="37"/>
      <c r="F73" s="37"/>
      <c r="G73" s="37"/>
      <c r="H73" s="37"/>
      <c r="I73" s="37"/>
      <c r="J73" s="37"/>
      <c r="K73" s="37"/>
      <c r="L73" s="37"/>
      <c r="M73" s="37"/>
    </row>
    <row r="74" spans="1:13">
      <c r="A74" s="37"/>
      <c r="B74" s="37"/>
      <c r="C74" s="37"/>
      <c r="D74" s="37"/>
      <c r="E74" s="37"/>
      <c r="F74" s="37"/>
      <c r="G74" s="37"/>
      <c r="H74" s="37"/>
      <c r="I74" s="37"/>
      <c r="J74" s="37"/>
      <c r="K74" s="37"/>
      <c r="L74" s="37"/>
      <c r="M74" s="37"/>
    </row>
    <row r="75" spans="1:13">
      <c r="A75" s="37"/>
      <c r="B75" s="37"/>
      <c r="C75" s="37"/>
      <c r="D75" s="37"/>
      <c r="E75" s="37"/>
      <c r="F75" s="37"/>
      <c r="G75" s="37"/>
      <c r="H75" s="37"/>
      <c r="I75" s="37"/>
      <c r="J75" s="37"/>
      <c r="K75" s="37"/>
      <c r="L75" s="37"/>
      <c r="M75" s="37"/>
    </row>
    <row r="76" spans="1:13">
      <c r="A76" s="37"/>
      <c r="B76" s="37"/>
      <c r="C76" s="37"/>
      <c r="D76" s="37"/>
      <c r="E76" s="37"/>
      <c r="F76" s="37"/>
      <c r="G76" s="37"/>
      <c r="H76" s="37"/>
      <c r="I76" s="37"/>
      <c r="J76" s="37"/>
      <c r="K76" s="37"/>
      <c r="L76" s="37"/>
      <c r="M76" s="37"/>
    </row>
    <row r="77" spans="1:13">
      <c r="A77" s="37"/>
      <c r="B77" s="37"/>
      <c r="C77" s="37"/>
      <c r="D77" s="37"/>
      <c r="E77" s="37"/>
      <c r="F77" s="37"/>
      <c r="G77" s="37"/>
      <c r="H77" s="37"/>
      <c r="I77" s="37"/>
      <c r="J77" s="37"/>
      <c r="K77" s="37"/>
      <c r="L77" s="37"/>
      <c r="M77" s="37"/>
    </row>
    <row r="78" spans="1:13">
      <c r="A78" s="37"/>
      <c r="B78" s="37"/>
      <c r="C78" s="37"/>
      <c r="D78" s="37"/>
      <c r="E78" s="37"/>
      <c r="F78" s="37"/>
      <c r="G78" s="37"/>
      <c r="H78" s="37"/>
      <c r="I78" s="37"/>
      <c r="J78" s="37"/>
      <c r="K78" s="37"/>
      <c r="L78" s="37"/>
      <c r="M78" s="37"/>
    </row>
    <row r="79" spans="1:13">
      <c r="A79" s="37"/>
      <c r="B79" s="37"/>
      <c r="C79" s="37"/>
      <c r="D79" s="37"/>
      <c r="E79" s="37"/>
      <c r="F79" s="37"/>
      <c r="G79" s="37"/>
      <c r="H79" s="37"/>
      <c r="I79" s="37"/>
      <c r="J79" s="37"/>
      <c r="K79" s="37"/>
      <c r="L79" s="37"/>
      <c r="M79" s="37"/>
    </row>
    <row r="80" spans="1:13">
      <c r="A80" s="37"/>
      <c r="B80" s="37"/>
      <c r="C80" s="37"/>
      <c r="D80" s="37"/>
      <c r="E80" s="37"/>
      <c r="F80" s="37"/>
      <c r="G80" s="37"/>
      <c r="H80" s="37"/>
      <c r="I80" s="37"/>
      <c r="J80" s="37"/>
      <c r="K80" s="37"/>
      <c r="L80" s="37"/>
      <c r="M80" s="37"/>
    </row>
    <row r="81" spans="1:13">
      <c r="A81" s="37"/>
      <c r="B81" s="37"/>
      <c r="C81" s="37"/>
      <c r="D81" s="37"/>
      <c r="E81" s="37"/>
      <c r="F81" s="37"/>
      <c r="G81" s="37"/>
      <c r="H81" s="37"/>
      <c r="I81" s="37"/>
      <c r="J81" s="37"/>
      <c r="K81" s="37"/>
      <c r="L81" s="37"/>
      <c r="M81" s="37"/>
    </row>
    <row r="82" spans="1:13">
      <c r="A82" s="37"/>
      <c r="B82" s="37"/>
      <c r="C82" s="37"/>
      <c r="D82" s="37"/>
      <c r="E82" s="37"/>
      <c r="F82" s="37"/>
      <c r="G82" s="37"/>
      <c r="H82" s="37"/>
      <c r="I82" s="37"/>
      <c r="J82" s="37"/>
      <c r="K82" s="37"/>
      <c r="L82" s="37"/>
      <c r="M82" s="37"/>
    </row>
    <row r="83" spans="1:13">
      <c r="A83" s="37"/>
      <c r="B83" s="37"/>
      <c r="C83" s="37"/>
      <c r="D83" s="37"/>
      <c r="E83" s="37"/>
      <c r="F83" s="37"/>
      <c r="G83" s="37"/>
      <c r="H83" s="37"/>
      <c r="I83" s="37"/>
      <c r="J83" s="37"/>
      <c r="K83" s="37"/>
      <c r="L83" s="37"/>
      <c r="M83" s="37"/>
    </row>
    <row r="84" spans="1:13">
      <c r="A84" s="37"/>
      <c r="B84" s="37"/>
      <c r="C84" s="37"/>
      <c r="D84" s="37"/>
      <c r="E84" s="37"/>
      <c r="F84" s="37"/>
      <c r="G84" s="37"/>
      <c r="H84" s="37"/>
      <c r="I84" s="37"/>
      <c r="J84" s="37"/>
      <c r="K84" s="37"/>
      <c r="L84" s="37"/>
      <c r="M84" s="37"/>
    </row>
    <row r="85" spans="1:13">
      <c r="A85" s="37"/>
      <c r="B85" s="37"/>
      <c r="C85" s="37"/>
      <c r="D85" s="37"/>
      <c r="E85" s="37"/>
      <c r="F85" s="37"/>
      <c r="G85" s="37"/>
      <c r="H85" s="37"/>
      <c r="I85" s="37"/>
      <c r="J85" s="37"/>
      <c r="K85" s="37"/>
      <c r="L85" s="37"/>
      <c r="M85" s="37"/>
    </row>
    <row r="86" spans="1:13">
      <c r="A86" s="37"/>
      <c r="B86" s="37"/>
      <c r="C86" s="37"/>
      <c r="D86" s="37"/>
      <c r="E86" s="37"/>
      <c r="F86" s="37"/>
      <c r="G86" s="37"/>
      <c r="H86" s="37"/>
      <c r="I86" s="37"/>
      <c r="J86" s="37"/>
      <c r="K86" s="37"/>
      <c r="L86" s="37"/>
      <c r="M86" s="37"/>
    </row>
    <row r="87" spans="1:13">
      <c r="A87" s="37"/>
      <c r="B87" s="37"/>
      <c r="C87" s="37"/>
      <c r="D87" s="37"/>
      <c r="E87" s="37"/>
      <c r="F87" s="37"/>
      <c r="G87" s="37"/>
      <c r="H87" s="37"/>
      <c r="I87" s="37"/>
      <c r="J87" s="37"/>
      <c r="K87" s="37"/>
      <c r="L87" s="37"/>
      <c r="M87" s="37"/>
    </row>
    <row r="88" spans="1:13">
      <c r="A88" s="37"/>
      <c r="B88" s="37"/>
      <c r="C88" s="37"/>
      <c r="D88" s="37"/>
      <c r="E88" s="37"/>
      <c r="F88" s="37"/>
      <c r="G88" s="37"/>
      <c r="H88" s="37"/>
      <c r="I88" s="37"/>
      <c r="J88" s="37"/>
      <c r="K88" s="37"/>
      <c r="L88" s="37"/>
      <c r="M88" s="37"/>
    </row>
    <row r="89" spans="1:13">
      <c r="A89" s="37"/>
      <c r="B89" s="37"/>
      <c r="C89" s="37"/>
      <c r="D89" s="37"/>
      <c r="E89" s="37"/>
      <c r="F89" s="37"/>
      <c r="G89" s="37"/>
      <c r="H89" s="37"/>
      <c r="I89" s="37"/>
      <c r="J89" s="37"/>
      <c r="K89" s="37"/>
      <c r="L89" s="37"/>
      <c r="M89" s="37"/>
    </row>
    <row r="90" spans="1:13">
      <c r="A90" s="37"/>
      <c r="B90" s="37"/>
      <c r="C90" s="37"/>
      <c r="D90" s="37"/>
      <c r="E90" s="37"/>
      <c r="F90" s="37"/>
      <c r="G90" s="37"/>
      <c r="H90" s="37"/>
      <c r="I90" s="37"/>
      <c r="J90" s="37"/>
      <c r="K90" s="37"/>
      <c r="L90" s="37"/>
      <c r="M90" s="37"/>
    </row>
    <row r="91" spans="1:13">
      <c r="A91" s="37"/>
      <c r="B91" s="37"/>
      <c r="C91" s="37"/>
      <c r="D91" s="37"/>
      <c r="E91" s="37"/>
      <c r="F91" s="37"/>
      <c r="G91" s="37"/>
      <c r="H91" s="37"/>
      <c r="I91" s="37"/>
      <c r="J91" s="37"/>
      <c r="K91" s="37"/>
      <c r="L91" s="37"/>
      <c r="M91" s="37"/>
    </row>
    <row r="92" spans="1:13">
      <c r="A92" s="37"/>
      <c r="B92" s="37"/>
      <c r="C92" s="37"/>
      <c r="D92" s="37"/>
      <c r="E92" s="37"/>
      <c r="F92" s="37"/>
      <c r="G92" s="37"/>
      <c r="H92" s="37"/>
      <c r="I92" s="37"/>
      <c r="J92" s="37"/>
      <c r="K92" s="37"/>
      <c r="L92" s="37"/>
      <c r="M92" s="37"/>
    </row>
    <row r="93" spans="1:13">
      <c r="A93" s="37"/>
      <c r="B93" s="37"/>
      <c r="C93" s="37"/>
      <c r="D93" s="37"/>
      <c r="E93" s="37"/>
      <c r="F93" s="37"/>
      <c r="G93" s="37"/>
      <c r="H93" s="37"/>
      <c r="I93" s="37"/>
      <c r="J93" s="37"/>
      <c r="K93" s="37"/>
      <c r="L93" s="37"/>
      <c r="M93" s="37"/>
    </row>
    <row r="94" spans="1:13">
      <c r="A94" s="37"/>
      <c r="B94" s="37"/>
      <c r="C94" s="37"/>
      <c r="D94" s="37"/>
      <c r="E94" s="37"/>
      <c r="F94" s="37"/>
      <c r="G94" s="37"/>
      <c r="H94" s="37"/>
      <c r="I94" s="37"/>
      <c r="J94" s="37"/>
      <c r="K94" s="37"/>
      <c r="L94" s="37"/>
      <c r="M94" s="37"/>
    </row>
    <row r="95" spans="1:13">
      <c r="A95" s="37"/>
      <c r="B95" s="37"/>
      <c r="C95" s="37"/>
      <c r="D95" s="37"/>
      <c r="E95" s="37"/>
      <c r="F95" s="37"/>
      <c r="G95" s="37"/>
      <c r="H95" s="37"/>
      <c r="I95" s="37"/>
      <c r="J95" s="37"/>
      <c r="K95" s="37"/>
      <c r="L95" s="37"/>
      <c r="M95" s="37"/>
    </row>
    <row r="96" spans="1:13">
      <c r="A96" s="37"/>
      <c r="B96" s="37"/>
      <c r="C96" s="37"/>
      <c r="D96" s="37"/>
      <c r="E96" s="37"/>
      <c r="F96" s="37"/>
      <c r="G96" s="37"/>
      <c r="H96" s="37"/>
      <c r="I96" s="37"/>
      <c r="J96" s="37"/>
      <c r="K96" s="37"/>
      <c r="L96" s="37"/>
      <c r="M96" s="37"/>
    </row>
    <row r="97" spans="1:13">
      <c r="A97" s="37"/>
      <c r="B97" s="37"/>
      <c r="C97" s="37"/>
      <c r="D97" s="37"/>
      <c r="E97" s="37"/>
      <c r="F97" s="37"/>
      <c r="G97" s="37"/>
      <c r="H97" s="37"/>
      <c r="I97" s="37"/>
      <c r="J97" s="37"/>
      <c r="K97" s="37"/>
      <c r="L97" s="37"/>
      <c r="M97" s="37"/>
    </row>
    <row r="98" spans="1:13">
      <c r="A98" s="37"/>
      <c r="B98" s="37"/>
      <c r="C98" s="37"/>
      <c r="D98" s="37"/>
      <c r="E98" s="37"/>
      <c r="F98" s="37"/>
      <c r="G98" s="37"/>
      <c r="H98" s="37"/>
      <c r="I98" s="37"/>
      <c r="J98" s="37"/>
      <c r="K98" s="37"/>
      <c r="L98" s="37"/>
      <c r="M98" s="37"/>
    </row>
    <row r="99" spans="1:13">
      <c r="A99" s="37"/>
      <c r="B99" s="37"/>
      <c r="C99" s="37"/>
      <c r="D99" s="37"/>
      <c r="E99" s="37"/>
      <c r="F99" s="37"/>
      <c r="G99" s="37"/>
      <c r="H99" s="37"/>
      <c r="I99" s="37"/>
      <c r="J99" s="37"/>
      <c r="K99" s="37"/>
      <c r="L99" s="37"/>
      <c r="M99" s="37"/>
    </row>
    <row r="100" spans="1:13">
      <c r="A100" s="37"/>
      <c r="B100" s="37"/>
      <c r="C100" s="37"/>
      <c r="D100" s="37"/>
      <c r="E100" s="37"/>
      <c r="F100" s="37"/>
      <c r="G100" s="37"/>
      <c r="H100" s="37"/>
      <c r="I100" s="37"/>
      <c r="J100" s="37"/>
      <c r="K100" s="37"/>
      <c r="L100" s="37"/>
      <c r="M100" s="37"/>
    </row>
    <row r="101" spans="1:13">
      <c r="A101" s="37"/>
      <c r="B101" s="37"/>
      <c r="C101" s="37"/>
      <c r="D101" s="37"/>
      <c r="E101" s="37"/>
      <c r="F101" s="37"/>
      <c r="G101" s="37"/>
      <c r="H101" s="37"/>
      <c r="I101" s="37"/>
      <c r="J101" s="37"/>
      <c r="K101" s="37"/>
      <c r="L101" s="37"/>
      <c r="M101" s="37"/>
    </row>
    <row r="102" spans="1:13">
      <c r="A102" s="37"/>
      <c r="B102" s="37"/>
      <c r="C102" s="37"/>
      <c r="D102" s="37"/>
      <c r="E102" s="37"/>
      <c r="F102" s="37"/>
      <c r="G102" s="37"/>
      <c r="H102" s="37"/>
      <c r="I102" s="37"/>
      <c r="J102" s="37"/>
      <c r="K102" s="37"/>
      <c r="L102" s="37"/>
      <c r="M102" s="37"/>
    </row>
    <row r="103" spans="1:13">
      <c r="A103" s="37"/>
      <c r="B103" s="37"/>
      <c r="C103" s="37"/>
      <c r="D103" s="37"/>
      <c r="E103" s="37"/>
      <c r="F103" s="37"/>
      <c r="G103" s="37"/>
      <c r="H103" s="37"/>
      <c r="I103" s="37"/>
      <c r="J103" s="37"/>
      <c r="K103" s="37"/>
      <c r="L103" s="37"/>
      <c r="M103" s="37"/>
    </row>
    <row r="104" spans="1:13">
      <c r="A104" s="37"/>
      <c r="B104" s="37"/>
      <c r="C104" s="37"/>
      <c r="D104" s="37"/>
      <c r="E104" s="37"/>
      <c r="F104" s="37"/>
      <c r="G104" s="37"/>
      <c r="H104" s="37"/>
      <c r="I104" s="37"/>
      <c r="J104" s="37"/>
      <c r="K104" s="37"/>
      <c r="L104" s="37"/>
      <c r="M104" s="37"/>
    </row>
    <row r="105" spans="1:13">
      <c r="A105" s="37"/>
      <c r="B105" s="37"/>
      <c r="C105" s="37"/>
      <c r="D105" s="37"/>
      <c r="E105" s="37"/>
      <c r="F105" s="37"/>
      <c r="G105" s="37"/>
      <c r="H105" s="37"/>
      <c r="I105" s="37"/>
      <c r="J105" s="37"/>
      <c r="K105" s="37"/>
      <c r="L105" s="37"/>
      <c r="M105" s="37"/>
    </row>
    <row r="106" spans="1:13">
      <c r="A106" s="37"/>
      <c r="B106" s="37"/>
      <c r="C106" s="37"/>
      <c r="D106" s="37"/>
      <c r="E106" s="37"/>
      <c r="F106" s="37"/>
      <c r="G106" s="37"/>
      <c r="H106" s="37"/>
      <c r="I106" s="37"/>
      <c r="J106" s="37"/>
      <c r="K106" s="37"/>
      <c r="L106" s="37"/>
      <c r="M106" s="37"/>
    </row>
    <row r="107" spans="1:13">
      <c r="A107" s="37"/>
      <c r="B107" s="37"/>
      <c r="C107" s="37"/>
      <c r="D107" s="37"/>
      <c r="E107" s="37"/>
      <c r="F107" s="37"/>
      <c r="G107" s="37"/>
      <c r="H107" s="37"/>
      <c r="I107" s="37"/>
      <c r="J107" s="37"/>
      <c r="K107" s="37"/>
      <c r="L107" s="37"/>
      <c r="M107" s="37"/>
    </row>
    <row r="108" spans="1:13">
      <c r="A108" s="37"/>
      <c r="B108" s="37"/>
      <c r="C108" s="37"/>
      <c r="D108" s="37"/>
      <c r="E108" s="37"/>
      <c r="F108" s="37"/>
      <c r="G108" s="37"/>
      <c r="H108" s="37"/>
      <c r="I108" s="37"/>
      <c r="J108" s="37"/>
      <c r="K108" s="37"/>
      <c r="L108" s="37"/>
      <c r="M108" s="37"/>
    </row>
    <row r="109" spans="1:13">
      <c r="A109" s="37"/>
      <c r="B109" s="37"/>
      <c r="C109" s="37"/>
      <c r="D109" s="37"/>
      <c r="E109" s="37"/>
      <c r="F109" s="37"/>
      <c r="G109" s="37"/>
      <c r="H109" s="37"/>
      <c r="I109" s="37"/>
      <c r="J109" s="37"/>
      <c r="K109" s="37"/>
      <c r="L109" s="37"/>
      <c r="M109" s="37"/>
    </row>
    <row r="110" spans="1:13">
      <c r="A110" s="37"/>
      <c r="B110" s="37"/>
      <c r="C110" s="37"/>
      <c r="D110" s="37"/>
      <c r="E110" s="37"/>
      <c r="F110" s="37"/>
      <c r="G110" s="37"/>
      <c r="H110" s="37"/>
      <c r="I110" s="37"/>
      <c r="J110" s="37"/>
      <c r="K110" s="37"/>
      <c r="L110" s="37"/>
      <c r="M110" s="37"/>
    </row>
    <row r="111" spans="1:13">
      <c r="A111" s="37"/>
      <c r="B111" s="37"/>
      <c r="C111" s="37"/>
      <c r="D111" s="37"/>
      <c r="E111" s="37"/>
      <c r="F111" s="37"/>
      <c r="G111" s="37"/>
      <c r="H111" s="37"/>
      <c r="I111" s="37"/>
      <c r="J111" s="37"/>
      <c r="K111" s="37"/>
      <c r="L111" s="37"/>
      <c r="M111" s="37"/>
    </row>
    <row r="112" spans="1:13">
      <c r="A112" s="37"/>
      <c r="B112" s="37"/>
      <c r="C112" s="37"/>
      <c r="D112" s="37"/>
      <c r="E112" s="37"/>
      <c r="F112" s="37"/>
      <c r="G112" s="37"/>
      <c r="H112" s="37"/>
      <c r="I112" s="37"/>
      <c r="J112" s="37"/>
      <c r="K112" s="37"/>
      <c r="L112" s="37"/>
      <c r="M112" s="37"/>
    </row>
    <row r="113" spans="1:13">
      <c r="A113" s="37"/>
      <c r="B113" s="37"/>
      <c r="C113" s="37"/>
      <c r="D113" s="37"/>
      <c r="E113" s="37"/>
      <c r="F113" s="37"/>
      <c r="G113" s="37"/>
      <c r="H113" s="37"/>
      <c r="I113" s="37"/>
      <c r="J113" s="37"/>
      <c r="K113" s="37"/>
      <c r="L113" s="37"/>
      <c r="M113" s="37"/>
    </row>
    <row r="114" spans="1:13">
      <c r="A114" s="37"/>
      <c r="B114" s="37"/>
      <c r="C114" s="37"/>
      <c r="D114" s="37"/>
      <c r="E114" s="37"/>
      <c r="F114" s="37"/>
      <c r="G114" s="37"/>
      <c r="H114" s="37"/>
      <c r="I114" s="37"/>
      <c r="J114" s="37"/>
      <c r="K114" s="37"/>
      <c r="L114" s="37"/>
      <c r="M114" s="37"/>
    </row>
    <row r="115" spans="1:13">
      <c r="A115" s="37"/>
      <c r="B115" s="37"/>
      <c r="C115" s="37"/>
      <c r="D115" s="37"/>
      <c r="E115" s="37"/>
      <c r="F115" s="37"/>
      <c r="G115" s="37"/>
      <c r="H115" s="37"/>
      <c r="I115" s="37"/>
      <c r="J115" s="37"/>
      <c r="K115" s="37"/>
      <c r="L115" s="37"/>
      <c r="M115" s="37"/>
    </row>
    <row r="116" spans="1:13">
      <c r="A116" s="37"/>
      <c r="B116" s="37"/>
      <c r="C116" s="37"/>
      <c r="D116" s="37"/>
      <c r="E116" s="37"/>
      <c r="F116" s="37"/>
      <c r="G116" s="37"/>
      <c r="H116" s="37"/>
      <c r="I116" s="37"/>
      <c r="J116" s="37"/>
      <c r="K116" s="37"/>
      <c r="L116" s="37"/>
      <c r="M116" s="37"/>
    </row>
    <row r="117" spans="1:13">
      <c r="A117" s="37"/>
      <c r="B117" s="37"/>
      <c r="C117" s="37"/>
      <c r="D117" s="37"/>
      <c r="E117" s="37"/>
      <c r="F117" s="37"/>
      <c r="G117" s="37"/>
      <c r="H117" s="37"/>
      <c r="I117" s="37"/>
      <c r="J117" s="37"/>
      <c r="K117" s="37"/>
      <c r="L117" s="37"/>
      <c r="M117" s="37"/>
    </row>
    <row r="118" spans="1:13">
      <c r="A118" s="37"/>
      <c r="B118" s="37"/>
      <c r="C118" s="37"/>
      <c r="D118" s="37"/>
      <c r="E118" s="37"/>
      <c r="F118" s="37"/>
      <c r="G118" s="37"/>
      <c r="H118" s="37"/>
      <c r="I118" s="37"/>
      <c r="J118" s="37"/>
      <c r="K118" s="37"/>
      <c r="L118" s="37"/>
      <c r="M118" s="37"/>
    </row>
    <row r="119" spans="1:13">
      <c r="A119" s="37"/>
      <c r="B119" s="37"/>
      <c r="C119" s="37"/>
      <c r="D119" s="37"/>
      <c r="E119" s="37"/>
      <c r="F119" s="37"/>
      <c r="G119" s="37"/>
      <c r="H119" s="37"/>
      <c r="I119" s="37"/>
      <c r="J119" s="37"/>
      <c r="K119" s="37"/>
      <c r="L119" s="37"/>
      <c r="M119" s="37"/>
    </row>
    <row r="120" spans="1:13">
      <c r="A120" s="37"/>
      <c r="B120" s="37"/>
      <c r="C120" s="37"/>
      <c r="D120" s="37"/>
      <c r="E120" s="37"/>
      <c r="F120" s="37"/>
      <c r="G120" s="37"/>
      <c r="H120" s="37"/>
      <c r="I120" s="37"/>
      <c r="J120" s="37"/>
      <c r="K120" s="37"/>
      <c r="L120" s="37"/>
      <c r="M120" s="37"/>
    </row>
    <row r="121" spans="1:13">
      <c r="A121" s="37"/>
      <c r="B121" s="37"/>
      <c r="C121" s="37"/>
      <c r="D121" s="37"/>
      <c r="E121" s="37"/>
      <c r="F121" s="37"/>
      <c r="G121" s="37"/>
      <c r="H121" s="37"/>
      <c r="I121" s="37"/>
      <c r="J121" s="37"/>
      <c r="K121" s="37"/>
      <c r="L121" s="37"/>
      <c r="M121" s="37"/>
    </row>
    <row r="122" spans="1:13">
      <c r="A122" s="37"/>
      <c r="B122" s="37"/>
      <c r="C122" s="37"/>
      <c r="D122" s="37"/>
      <c r="E122" s="37"/>
      <c r="F122" s="37"/>
      <c r="G122" s="37"/>
      <c r="H122" s="37"/>
      <c r="I122" s="37"/>
      <c r="J122" s="37"/>
      <c r="K122" s="37"/>
      <c r="L122" s="37"/>
      <c r="M122" s="37"/>
    </row>
    <row r="123" spans="1:13">
      <c r="A123" s="37"/>
      <c r="B123" s="37"/>
      <c r="C123" s="37"/>
      <c r="D123" s="37"/>
      <c r="E123" s="37"/>
      <c r="F123" s="37"/>
      <c r="G123" s="37"/>
      <c r="H123" s="37"/>
      <c r="I123" s="37"/>
      <c r="J123" s="37"/>
      <c r="K123" s="37"/>
      <c r="L123" s="37"/>
      <c r="M123" s="37"/>
    </row>
    <row r="124" spans="1:13">
      <c r="A124" s="37"/>
      <c r="B124" s="37"/>
      <c r="C124" s="37"/>
      <c r="D124" s="37"/>
      <c r="E124" s="37"/>
      <c r="F124" s="37"/>
      <c r="G124" s="37"/>
      <c r="H124" s="37"/>
      <c r="I124" s="37"/>
      <c r="J124" s="37"/>
      <c r="K124" s="37"/>
      <c r="L124" s="37"/>
      <c r="M124" s="37"/>
    </row>
    <row r="125" spans="1:13">
      <c r="A125" s="37"/>
      <c r="B125" s="37"/>
      <c r="C125" s="37"/>
      <c r="D125" s="37"/>
      <c r="E125" s="37"/>
      <c r="F125" s="37"/>
      <c r="G125" s="37"/>
      <c r="H125" s="37"/>
      <c r="I125" s="37"/>
      <c r="J125" s="37"/>
      <c r="K125" s="37"/>
      <c r="L125" s="37"/>
      <c r="M125" s="37"/>
    </row>
    <row r="126" spans="1:13">
      <c r="A126" s="37"/>
      <c r="B126" s="37"/>
      <c r="C126" s="37"/>
      <c r="D126" s="37"/>
      <c r="E126" s="37"/>
      <c r="F126" s="37"/>
      <c r="G126" s="37"/>
      <c r="H126" s="37"/>
      <c r="I126" s="37"/>
      <c r="J126" s="37"/>
      <c r="K126" s="37"/>
      <c r="L126" s="37"/>
      <c r="M126" s="37"/>
    </row>
    <row r="127" spans="1:13">
      <c r="A127" s="37"/>
      <c r="B127" s="37"/>
      <c r="C127" s="37"/>
      <c r="D127" s="37"/>
      <c r="E127" s="37"/>
      <c r="F127" s="37"/>
      <c r="G127" s="37"/>
      <c r="H127" s="37"/>
      <c r="I127" s="37"/>
      <c r="J127" s="37"/>
      <c r="K127" s="37"/>
      <c r="L127" s="37"/>
      <c r="M127" s="37"/>
    </row>
    <row r="128" spans="1:13">
      <c r="A128" s="37"/>
      <c r="B128" s="37"/>
      <c r="C128" s="37"/>
      <c r="D128" s="37"/>
      <c r="E128" s="37"/>
      <c r="F128" s="37"/>
      <c r="G128" s="37"/>
      <c r="H128" s="37"/>
      <c r="I128" s="37"/>
      <c r="J128" s="37"/>
      <c r="K128" s="37"/>
      <c r="L128" s="37"/>
      <c r="M128" s="37"/>
    </row>
    <row r="129" spans="1:13">
      <c r="A129" s="37"/>
      <c r="B129" s="37"/>
      <c r="C129" s="37"/>
      <c r="D129" s="37"/>
      <c r="E129" s="37"/>
      <c r="F129" s="37"/>
      <c r="G129" s="37"/>
      <c r="H129" s="37"/>
      <c r="I129" s="37"/>
      <c r="J129" s="37"/>
      <c r="K129" s="37"/>
      <c r="L129" s="37"/>
      <c r="M129" s="37"/>
    </row>
    <row r="130" spans="1:13">
      <c r="A130" s="37"/>
      <c r="B130" s="37"/>
      <c r="C130" s="37"/>
      <c r="D130" s="37"/>
      <c r="E130" s="37"/>
      <c r="F130" s="37"/>
      <c r="G130" s="37"/>
      <c r="H130" s="37"/>
      <c r="I130" s="37"/>
      <c r="J130" s="37"/>
      <c r="K130" s="37"/>
      <c r="L130" s="37"/>
      <c r="M130" s="37"/>
    </row>
    <row r="131" spans="1:13">
      <c r="A131" s="37"/>
      <c r="B131" s="37"/>
      <c r="C131" s="37"/>
      <c r="D131" s="37"/>
      <c r="E131" s="37"/>
      <c r="F131" s="37"/>
      <c r="G131" s="37"/>
      <c r="H131" s="37"/>
      <c r="I131" s="37"/>
      <c r="J131" s="37"/>
      <c r="K131" s="37"/>
      <c r="L131" s="37"/>
      <c r="M131" s="37"/>
    </row>
    <row r="132" spans="1:13">
      <c r="A132" s="37"/>
      <c r="B132" s="37"/>
      <c r="C132" s="37"/>
      <c r="D132" s="37"/>
      <c r="E132" s="37"/>
      <c r="F132" s="37"/>
      <c r="G132" s="37"/>
      <c r="H132" s="37"/>
      <c r="I132" s="37"/>
      <c r="J132" s="37"/>
      <c r="K132" s="37"/>
      <c r="L132" s="37"/>
      <c r="M132" s="37"/>
    </row>
    <row r="133" spans="1:13">
      <c r="A133" s="37"/>
      <c r="B133" s="37"/>
      <c r="C133" s="37"/>
      <c r="D133" s="37"/>
      <c r="E133" s="37"/>
      <c r="F133" s="37"/>
      <c r="G133" s="37"/>
      <c r="H133" s="37"/>
      <c r="I133" s="37"/>
      <c r="J133" s="37"/>
      <c r="K133" s="37"/>
      <c r="L133" s="37"/>
      <c r="M133" s="37"/>
    </row>
    <row r="134" spans="1:13">
      <c r="A134" s="37"/>
      <c r="B134" s="37"/>
      <c r="C134" s="37"/>
      <c r="D134" s="37"/>
      <c r="E134" s="37"/>
      <c r="F134" s="37"/>
      <c r="G134" s="37"/>
      <c r="H134" s="37"/>
      <c r="I134" s="37"/>
      <c r="J134" s="37"/>
      <c r="K134" s="37"/>
      <c r="L134" s="37"/>
      <c r="M134" s="37"/>
    </row>
    <row r="135" spans="1:13">
      <c r="A135" s="37"/>
      <c r="B135" s="37"/>
      <c r="C135" s="37"/>
      <c r="D135" s="37"/>
      <c r="E135" s="37"/>
      <c r="F135" s="37"/>
      <c r="G135" s="37"/>
      <c r="H135" s="37"/>
      <c r="I135" s="37"/>
      <c r="J135" s="37"/>
      <c r="K135" s="37"/>
      <c r="L135" s="37"/>
      <c r="M135" s="37"/>
    </row>
    <row r="136" spans="1:13">
      <c r="A136" s="37"/>
      <c r="B136" s="37"/>
      <c r="C136" s="37"/>
      <c r="D136" s="37"/>
      <c r="E136" s="37"/>
      <c r="F136" s="37"/>
      <c r="G136" s="37"/>
      <c r="H136" s="37"/>
      <c r="I136" s="37"/>
      <c r="J136" s="37"/>
      <c r="K136" s="37"/>
      <c r="L136" s="37"/>
      <c r="M136" s="37"/>
    </row>
    <row r="137" spans="1:13">
      <c r="A137" s="37"/>
      <c r="B137" s="37"/>
      <c r="C137" s="37"/>
      <c r="D137" s="37"/>
      <c r="E137" s="37"/>
      <c r="F137" s="37"/>
      <c r="G137" s="37"/>
      <c r="H137" s="37"/>
      <c r="I137" s="37"/>
      <c r="J137" s="37"/>
      <c r="K137" s="37"/>
      <c r="L137" s="37"/>
      <c r="M137" s="37"/>
    </row>
    <row r="138" spans="1:13">
      <c r="A138" s="37"/>
      <c r="B138" s="37"/>
      <c r="C138" s="37"/>
      <c r="D138" s="37"/>
      <c r="E138" s="37"/>
      <c r="F138" s="37"/>
      <c r="G138" s="37"/>
      <c r="H138" s="37"/>
      <c r="I138" s="37"/>
      <c r="J138" s="37"/>
      <c r="K138" s="37"/>
      <c r="L138" s="37"/>
      <c r="M138" s="37"/>
    </row>
    <row r="139" spans="1:13">
      <c r="A139" s="37"/>
      <c r="B139" s="37"/>
      <c r="C139" s="37"/>
      <c r="D139" s="37"/>
      <c r="E139" s="37"/>
      <c r="F139" s="37"/>
      <c r="G139" s="37"/>
      <c r="H139" s="37"/>
      <c r="I139" s="37"/>
      <c r="J139" s="37"/>
      <c r="K139" s="37"/>
      <c r="L139" s="37"/>
      <c r="M139" s="37"/>
    </row>
    <row r="140" spans="1:13">
      <c r="A140" s="37"/>
      <c r="B140" s="37"/>
      <c r="C140" s="37"/>
      <c r="D140" s="37"/>
      <c r="E140" s="37"/>
      <c r="F140" s="37"/>
      <c r="G140" s="37"/>
      <c r="H140" s="37"/>
      <c r="I140" s="37"/>
      <c r="J140" s="37"/>
      <c r="K140" s="37"/>
      <c r="L140" s="37"/>
      <c r="M140" s="37"/>
    </row>
    <row r="141" spans="1:13">
      <c r="A141" s="37"/>
      <c r="B141" s="37"/>
      <c r="C141" s="37"/>
      <c r="D141" s="37"/>
      <c r="E141" s="37"/>
      <c r="F141" s="37"/>
      <c r="G141" s="37"/>
      <c r="H141" s="37"/>
      <c r="I141" s="37"/>
      <c r="J141" s="37"/>
      <c r="K141" s="37"/>
      <c r="L141" s="37"/>
      <c r="M141" s="37"/>
    </row>
    <row r="142" spans="1:13">
      <c r="A142" s="37"/>
      <c r="B142" s="37"/>
      <c r="C142" s="37"/>
      <c r="D142" s="37"/>
      <c r="E142" s="37"/>
      <c r="F142" s="37"/>
      <c r="G142" s="37"/>
      <c r="H142" s="37"/>
      <c r="I142" s="37"/>
      <c r="J142" s="37"/>
      <c r="K142" s="37"/>
      <c r="L142" s="37"/>
      <c r="M142" s="37"/>
    </row>
    <row r="143" spans="1:13">
      <c r="A143" s="37"/>
      <c r="B143" s="37"/>
      <c r="C143" s="37"/>
      <c r="D143" s="37"/>
      <c r="E143" s="37"/>
      <c r="F143" s="37"/>
      <c r="G143" s="37"/>
      <c r="H143" s="37"/>
      <c r="I143" s="37"/>
      <c r="J143" s="37"/>
      <c r="K143" s="37"/>
      <c r="L143" s="37"/>
      <c r="M143" s="37"/>
    </row>
    <row r="144" spans="1:13">
      <c r="A144" s="37"/>
      <c r="B144" s="37"/>
      <c r="C144" s="37"/>
      <c r="D144" s="37"/>
      <c r="E144" s="37"/>
      <c r="F144" s="37"/>
      <c r="G144" s="37"/>
      <c r="H144" s="37"/>
      <c r="I144" s="37"/>
      <c r="J144" s="37"/>
      <c r="K144" s="37"/>
      <c r="L144" s="37"/>
      <c r="M144" s="37"/>
    </row>
    <row r="145" spans="1:13">
      <c r="A145" s="37"/>
      <c r="B145" s="37"/>
      <c r="C145" s="37"/>
      <c r="D145" s="37"/>
      <c r="E145" s="37"/>
      <c r="F145" s="37"/>
      <c r="G145" s="37"/>
      <c r="H145" s="37"/>
      <c r="I145" s="37"/>
      <c r="J145" s="37"/>
      <c r="K145" s="37"/>
      <c r="L145" s="37"/>
      <c r="M145" s="37"/>
    </row>
    <row r="146" spans="1:13">
      <c r="A146" s="37"/>
      <c r="B146" s="37"/>
      <c r="C146" s="37"/>
      <c r="D146" s="37"/>
      <c r="E146" s="37"/>
      <c r="F146" s="37"/>
      <c r="G146" s="37"/>
      <c r="H146" s="37"/>
      <c r="I146" s="37"/>
      <c r="J146" s="37"/>
      <c r="K146" s="37"/>
      <c r="L146" s="37"/>
      <c r="M146" s="37"/>
    </row>
    <row r="147" spans="1:13">
      <c r="A147" s="37"/>
      <c r="B147" s="37"/>
      <c r="C147" s="37"/>
      <c r="D147" s="37"/>
      <c r="E147" s="37"/>
      <c r="F147" s="37"/>
      <c r="G147" s="37"/>
      <c r="H147" s="37"/>
      <c r="I147" s="37"/>
      <c r="J147" s="37"/>
      <c r="K147" s="37"/>
      <c r="L147" s="37"/>
      <c r="M147" s="37"/>
    </row>
    <row r="148" spans="1:13">
      <c r="A148" s="37"/>
      <c r="B148" s="37"/>
      <c r="C148" s="37"/>
      <c r="D148" s="37"/>
      <c r="E148" s="37"/>
      <c r="F148" s="37"/>
      <c r="G148" s="37"/>
      <c r="H148" s="37"/>
      <c r="I148" s="37"/>
      <c r="J148" s="37"/>
      <c r="K148" s="37"/>
      <c r="L148" s="37"/>
      <c r="M148" s="37"/>
    </row>
    <row r="149" spans="1:13">
      <c r="A149" s="37"/>
      <c r="B149" s="37"/>
      <c r="C149" s="37"/>
      <c r="D149" s="37"/>
      <c r="E149" s="37"/>
      <c r="F149" s="37"/>
      <c r="G149" s="37"/>
      <c r="H149" s="37"/>
      <c r="I149" s="37"/>
      <c r="J149" s="37"/>
      <c r="K149" s="37"/>
      <c r="L149" s="37"/>
      <c r="M149" s="37"/>
    </row>
    <row r="150" spans="1:13">
      <c r="A150" s="37"/>
      <c r="B150" s="37"/>
      <c r="C150" s="37"/>
      <c r="D150" s="37"/>
      <c r="E150" s="37"/>
      <c r="F150" s="37"/>
      <c r="G150" s="37"/>
      <c r="H150" s="37"/>
      <c r="I150" s="37"/>
      <c r="J150" s="37"/>
      <c r="K150" s="37"/>
      <c r="L150" s="37"/>
      <c r="M150" s="37"/>
    </row>
    <row r="151" spans="1:13">
      <c r="A151" s="37"/>
      <c r="B151" s="37"/>
      <c r="C151" s="37"/>
      <c r="D151" s="37"/>
      <c r="E151" s="37"/>
      <c r="F151" s="37"/>
      <c r="G151" s="37"/>
      <c r="H151" s="37"/>
      <c r="I151" s="37"/>
      <c r="J151" s="37"/>
      <c r="K151" s="37"/>
      <c r="L151" s="37"/>
      <c r="M151" s="37"/>
    </row>
    <row r="152" spans="1:13">
      <c r="A152" s="37"/>
      <c r="B152" s="37"/>
      <c r="C152" s="37"/>
      <c r="D152" s="37"/>
      <c r="E152" s="37"/>
      <c r="F152" s="37"/>
      <c r="G152" s="37"/>
      <c r="H152" s="37"/>
      <c r="I152" s="37"/>
      <c r="J152" s="37"/>
      <c r="K152" s="37"/>
      <c r="L152" s="37"/>
      <c r="M152" s="37"/>
    </row>
    <row r="153" spans="1:13">
      <c r="A153" s="37"/>
      <c r="B153" s="37"/>
      <c r="C153" s="37"/>
      <c r="D153" s="37"/>
      <c r="E153" s="37"/>
      <c r="F153" s="37"/>
      <c r="G153" s="37"/>
      <c r="H153" s="37"/>
      <c r="I153" s="37"/>
      <c r="J153" s="37"/>
      <c r="K153" s="37"/>
      <c r="L153" s="37"/>
      <c r="M153" s="37"/>
    </row>
    <row r="154" spans="1:13">
      <c r="A154" s="37"/>
      <c r="B154" s="37"/>
      <c r="C154" s="37"/>
      <c r="D154" s="37"/>
      <c r="E154" s="37"/>
      <c r="F154" s="37"/>
      <c r="G154" s="37"/>
      <c r="H154" s="37"/>
      <c r="I154" s="37"/>
      <c r="J154" s="37"/>
      <c r="K154" s="37"/>
      <c r="L154" s="37"/>
      <c r="M154" s="37"/>
    </row>
    <row r="155" spans="1:13">
      <c r="A155" s="37"/>
      <c r="B155" s="37"/>
      <c r="C155" s="37"/>
      <c r="D155" s="37"/>
      <c r="E155" s="37"/>
      <c r="F155" s="37"/>
      <c r="G155" s="37"/>
      <c r="H155" s="37"/>
      <c r="I155" s="37"/>
      <c r="J155" s="37"/>
      <c r="K155" s="37"/>
      <c r="L155" s="37"/>
      <c r="M155" s="37"/>
    </row>
    <row r="156" spans="1:13">
      <c r="A156" s="37"/>
      <c r="B156" s="37"/>
      <c r="C156" s="37"/>
      <c r="D156" s="37"/>
      <c r="E156" s="37"/>
      <c r="F156" s="37"/>
      <c r="G156" s="37"/>
      <c r="H156" s="37"/>
      <c r="I156" s="37"/>
      <c r="J156" s="37"/>
      <c r="K156" s="37"/>
      <c r="L156" s="37"/>
      <c r="M156" s="37"/>
    </row>
    <row r="157" spans="1:13">
      <c r="A157" s="37"/>
      <c r="B157" s="37"/>
      <c r="C157" s="37"/>
      <c r="D157" s="37"/>
      <c r="E157" s="37"/>
      <c r="F157" s="37"/>
      <c r="G157" s="37"/>
      <c r="H157" s="37"/>
      <c r="I157" s="37"/>
      <c r="J157" s="37"/>
      <c r="K157" s="37"/>
      <c r="L157" s="37"/>
      <c r="M157" s="37"/>
    </row>
    <row r="158" spans="1:13">
      <c r="A158" s="37"/>
      <c r="B158" s="37"/>
      <c r="C158" s="37"/>
      <c r="D158" s="37"/>
      <c r="E158" s="37"/>
      <c r="F158" s="37"/>
      <c r="G158" s="37"/>
      <c r="H158" s="37"/>
      <c r="I158" s="37"/>
      <c r="J158" s="37"/>
      <c r="K158" s="37"/>
      <c r="L158" s="37"/>
      <c r="M158" s="37"/>
    </row>
    <row r="159" spans="1:13">
      <c r="A159" s="37"/>
      <c r="B159" s="37"/>
      <c r="C159" s="37"/>
      <c r="D159" s="37"/>
      <c r="E159" s="37"/>
      <c r="F159" s="37"/>
      <c r="G159" s="37"/>
      <c r="H159" s="37"/>
      <c r="I159" s="37"/>
      <c r="J159" s="37"/>
      <c r="K159" s="37"/>
      <c r="L159" s="37"/>
      <c r="M159" s="37"/>
    </row>
    <row r="160" spans="1:13">
      <c r="A160" s="37"/>
      <c r="B160" s="37"/>
      <c r="C160" s="37"/>
      <c r="D160" s="37"/>
      <c r="E160" s="37"/>
      <c r="F160" s="37"/>
      <c r="G160" s="37"/>
      <c r="H160" s="37"/>
      <c r="I160" s="37"/>
      <c r="J160" s="37"/>
      <c r="K160" s="37"/>
      <c r="L160" s="37"/>
      <c r="M160" s="37"/>
    </row>
    <row r="161" spans="1:13">
      <c r="A161" s="37"/>
      <c r="B161" s="37"/>
      <c r="C161" s="37"/>
      <c r="D161" s="37"/>
      <c r="E161" s="37"/>
      <c r="F161" s="37"/>
      <c r="G161" s="37"/>
      <c r="H161" s="37"/>
      <c r="I161" s="37"/>
      <c r="J161" s="37"/>
      <c r="K161" s="37"/>
      <c r="L161" s="37"/>
      <c r="M161" s="37"/>
    </row>
    <row r="162" spans="1:13">
      <c r="A162" s="37"/>
      <c r="B162" s="37"/>
      <c r="C162" s="37"/>
      <c r="D162" s="37"/>
      <c r="E162" s="37"/>
      <c r="F162" s="37"/>
      <c r="G162" s="37"/>
      <c r="H162" s="37"/>
      <c r="I162" s="37"/>
      <c r="J162" s="37"/>
      <c r="K162" s="37"/>
      <c r="L162" s="37"/>
      <c r="M162" s="37"/>
    </row>
    <row r="163" spans="1:13">
      <c r="A163" s="37"/>
      <c r="B163" s="37"/>
      <c r="C163" s="37"/>
      <c r="D163" s="37"/>
      <c r="E163" s="37"/>
      <c r="F163" s="37"/>
      <c r="G163" s="37"/>
      <c r="H163" s="37"/>
      <c r="I163" s="37"/>
      <c r="J163" s="37"/>
      <c r="K163" s="37"/>
      <c r="L163" s="37"/>
      <c r="M163" s="37"/>
    </row>
    <row r="164" spans="1:13">
      <c r="A164" s="37"/>
      <c r="B164" s="37"/>
      <c r="C164" s="37"/>
      <c r="D164" s="37"/>
      <c r="E164" s="37"/>
      <c r="F164" s="37"/>
      <c r="G164" s="37"/>
      <c r="H164" s="37"/>
      <c r="I164" s="37"/>
      <c r="J164" s="37"/>
      <c r="K164" s="37"/>
      <c r="L164" s="37"/>
      <c r="M164" s="37"/>
    </row>
    <row r="165" spans="1:13">
      <c r="A165" s="37"/>
      <c r="B165" s="37"/>
      <c r="C165" s="37"/>
      <c r="D165" s="37"/>
      <c r="E165" s="37"/>
      <c r="F165" s="37"/>
      <c r="G165" s="37"/>
      <c r="H165" s="37"/>
      <c r="I165" s="37"/>
      <c r="J165" s="37"/>
      <c r="K165" s="37"/>
      <c r="L165" s="37"/>
      <c r="M165" s="37"/>
    </row>
    <row r="166" spans="1:13">
      <c r="A166" s="37"/>
      <c r="B166" s="37"/>
      <c r="C166" s="37"/>
      <c r="D166" s="37"/>
      <c r="E166" s="37"/>
      <c r="F166" s="37"/>
      <c r="G166" s="37"/>
      <c r="H166" s="37"/>
      <c r="I166" s="37"/>
      <c r="J166" s="37"/>
      <c r="K166" s="37"/>
      <c r="L166" s="37"/>
      <c r="M166" s="37"/>
    </row>
    <row r="167" spans="1:13">
      <c r="A167" s="37"/>
      <c r="B167" s="37"/>
      <c r="C167" s="37"/>
      <c r="D167" s="37"/>
      <c r="E167" s="37"/>
      <c r="F167" s="37"/>
      <c r="G167" s="37"/>
      <c r="H167" s="37"/>
      <c r="I167" s="37"/>
      <c r="J167" s="37"/>
      <c r="K167" s="37"/>
      <c r="L167" s="37"/>
      <c r="M167" s="37"/>
    </row>
    <row r="168" spans="1:13">
      <c r="A168" s="37"/>
      <c r="B168" s="37"/>
      <c r="C168" s="37"/>
      <c r="D168" s="37"/>
      <c r="E168" s="37"/>
      <c r="F168" s="37"/>
      <c r="G168" s="37"/>
      <c r="H168" s="37"/>
      <c r="I168" s="37"/>
      <c r="J168" s="37"/>
      <c r="K168" s="37"/>
      <c r="L168" s="37"/>
      <c r="M168" s="37"/>
    </row>
    <row r="169" spans="1:13">
      <c r="A169" s="37"/>
      <c r="B169" s="37"/>
      <c r="C169" s="37"/>
      <c r="D169" s="37"/>
      <c r="E169" s="37"/>
      <c r="F169" s="37"/>
      <c r="G169" s="37"/>
      <c r="H169" s="37"/>
      <c r="I169" s="37"/>
      <c r="J169" s="37"/>
      <c r="K169" s="37"/>
      <c r="L169" s="37"/>
      <c r="M169" s="37"/>
    </row>
    <row r="170" spans="1:13">
      <c r="A170" s="37"/>
      <c r="B170" s="37"/>
      <c r="C170" s="37"/>
      <c r="D170" s="37"/>
      <c r="E170" s="37"/>
      <c r="F170" s="37"/>
      <c r="G170" s="37"/>
      <c r="H170" s="37"/>
      <c r="I170" s="37"/>
      <c r="J170" s="37"/>
      <c r="K170" s="37"/>
      <c r="L170" s="37"/>
      <c r="M170" s="37"/>
    </row>
    <row r="171" spans="1:13">
      <c r="A171" s="37"/>
      <c r="B171" s="37"/>
      <c r="C171" s="37"/>
      <c r="D171" s="37"/>
      <c r="E171" s="37"/>
      <c r="F171" s="37"/>
      <c r="G171" s="37"/>
      <c r="H171" s="37"/>
      <c r="I171" s="37"/>
      <c r="J171" s="37"/>
      <c r="K171" s="37"/>
      <c r="L171" s="37"/>
      <c r="M171" s="37"/>
    </row>
    <row r="172" spans="1:13">
      <c r="A172" s="37"/>
      <c r="B172" s="37"/>
      <c r="C172" s="37"/>
      <c r="D172" s="37"/>
      <c r="E172" s="37"/>
      <c r="F172" s="37"/>
      <c r="G172" s="37"/>
      <c r="H172" s="37"/>
      <c r="I172" s="37"/>
      <c r="J172" s="37"/>
      <c r="K172" s="37"/>
      <c r="L172" s="37"/>
      <c r="M172" s="37"/>
    </row>
    <row r="173" spans="1:13">
      <c r="A173" s="37"/>
      <c r="B173" s="37"/>
      <c r="C173" s="37"/>
      <c r="D173" s="37"/>
      <c r="E173" s="37"/>
      <c r="F173" s="37"/>
      <c r="G173" s="37"/>
      <c r="H173" s="37"/>
      <c r="I173" s="37"/>
      <c r="J173" s="37"/>
      <c r="K173" s="37"/>
      <c r="L173" s="37"/>
      <c r="M173" s="37"/>
    </row>
    <row r="174" spans="1:13">
      <c r="A174" s="37"/>
      <c r="B174" s="37"/>
      <c r="C174" s="37"/>
      <c r="D174" s="37"/>
      <c r="E174" s="37"/>
      <c r="F174" s="37"/>
      <c r="G174" s="37"/>
      <c r="H174" s="37"/>
      <c r="I174" s="37"/>
      <c r="J174" s="37"/>
      <c r="K174" s="37"/>
      <c r="L174" s="37"/>
      <c r="M174" s="37"/>
    </row>
    <row r="175" spans="1:13">
      <c r="A175" s="37"/>
      <c r="B175" s="37"/>
      <c r="C175" s="37"/>
      <c r="D175" s="37"/>
      <c r="E175" s="37"/>
      <c r="F175" s="37"/>
      <c r="G175" s="37"/>
      <c r="H175" s="37"/>
      <c r="I175" s="37"/>
      <c r="J175" s="37"/>
      <c r="K175" s="37"/>
      <c r="L175" s="37"/>
      <c r="M175" s="37"/>
    </row>
    <row r="176" spans="1:13">
      <c r="A176" s="37"/>
      <c r="B176" s="37"/>
      <c r="C176" s="37"/>
      <c r="D176" s="37"/>
      <c r="E176" s="37"/>
      <c r="F176" s="37"/>
      <c r="G176" s="37"/>
      <c r="H176" s="37"/>
      <c r="I176" s="37"/>
      <c r="J176" s="37"/>
      <c r="K176" s="37"/>
      <c r="L176" s="37"/>
      <c r="M176" s="37"/>
    </row>
    <row r="177" spans="1:13">
      <c r="A177" s="37"/>
      <c r="B177" s="37"/>
      <c r="C177" s="37"/>
      <c r="D177" s="37"/>
      <c r="E177" s="37"/>
      <c r="F177" s="37"/>
      <c r="G177" s="37"/>
      <c r="H177" s="37"/>
      <c r="I177" s="37"/>
      <c r="J177" s="37"/>
      <c r="K177" s="37"/>
      <c r="L177" s="37"/>
      <c r="M177" s="37"/>
    </row>
    <row r="178" spans="1:13">
      <c r="A178" s="37"/>
      <c r="B178" s="37"/>
      <c r="C178" s="37"/>
      <c r="D178" s="37"/>
      <c r="E178" s="37"/>
      <c r="F178" s="37"/>
      <c r="G178" s="37"/>
      <c r="H178" s="37"/>
      <c r="I178" s="37"/>
      <c r="J178" s="37"/>
      <c r="K178" s="37"/>
      <c r="L178" s="37"/>
      <c r="M178" s="37"/>
    </row>
    <row r="179" spans="1:13">
      <c r="A179" s="37"/>
      <c r="B179" s="37"/>
      <c r="C179" s="37"/>
      <c r="D179" s="37"/>
      <c r="E179" s="37"/>
      <c r="F179" s="37"/>
      <c r="G179" s="37"/>
      <c r="H179" s="37"/>
      <c r="I179" s="37"/>
      <c r="J179" s="37"/>
      <c r="K179" s="37"/>
      <c r="L179" s="37"/>
      <c r="M179" s="37"/>
    </row>
    <row r="180" spans="1:13">
      <c r="A180" s="37"/>
      <c r="B180" s="37"/>
      <c r="C180" s="37"/>
      <c r="D180" s="37"/>
      <c r="E180" s="37"/>
      <c r="F180" s="37"/>
      <c r="G180" s="37"/>
      <c r="H180" s="37"/>
      <c r="I180" s="37"/>
      <c r="J180" s="37"/>
      <c r="K180" s="37"/>
      <c r="L180" s="37"/>
      <c r="M180" s="37"/>
    </row>
    <row r="181" spans="1:13">
      <c r="A181" s="37"/>
      <c r="B181" s="37"/>
      <c r="C181" s="37"/>
      <c r="D181" s="37"/>
      <c r="E181" s="37"/>
      <c r="F181" s="37"/>
      <c r="G181" s="37"/>
      <c r="H181" s="37"/>
      <c r="I181" s="37"/>
      <c r="J181" s="37"/>
      <c r="K181" s="37"/>
      <c r="L181" s="37"/>
      <c r="M181" s="37"/>
    </row>
    <row r="182" spans="1:13">
      <c r="A182" s="37"/>
      <c r="B182" s="37"/>
      <c r="C182" s="37"/>
      <c r="D182" s="37"/>
      <c r="E182" s="37"/>
      <c r="F182" s="37"/>
      <c r="G182" s="37"/>
      <c r="H182" s="37"/>
      <c r="I182" s="37"/>
      <c r="J182" s="37"/>
      <c r="K182" s="37"/>
      <c r="L182" s="37"/>
      <c r="M182" s="37"/>
    </row>
    <row r="183" spans="1:13">
      <c r="A183" s="37"/>
      <c r="B183" s="37"/>
      <c r="C183" s="37"/>
      <c r="D183" s="37"/>
      <c r="E183" s="37"/>
      <c r="F183" s="37"/>
      <c r="G183" s="37"/>
      <c r="H183" s="37"/>
      <c r="I183" s="37"/>
      <c r="J183" s="37"/>
      <c r="K183" s="37"/>
      <c r="L183" s="37"/>
      <c r="M183" s="37"/>
    </row>
    <row r="184" spans="1:13">
      <c r="A184" s="37"/>
      <c r="B184" s="37"/>
      <c r="C184" s="37"/>
      <c r="D184" s="37"/>
      <c r="E184" s="37"/>
      <c r="F184" s="37"/>
      <c r="G184" s="37"/>
      <c r="H184" s="37"/>
      <c r="I184" s="37"/>
      <c r="J184" s="37"/>
      <c r="K184" s="37"/>
      <c r="L184" s="37"/>
      <c r="M184" s="37"/>
    </row>
    <row r="185" spans="1:13">
      <c r="A185" s="37"/>
      <c r="B185" s="37"/>
      <c r="C185" s="37"/>
      <c r="D185" s="37"/>
      <c r="E185" s="37"/>
      <c r="F185" s="37"/>
      <c r="G185" s="37"/>
      <c r="H185" s="37"/>
      <c r="I185" s="37"/>
      <c r="J185" s="37"/>
      <c r="K185" s="37"/>
      <c r="L185" s="37"/>
      <c r="M185" s="37"/>
    </row>
    <row r="186" spans="1:13">
      <c r="A186" s="37"/>
      <c r="B186" s="37"/>
      <c r="C186" s="37"/>
      <c r="D186" s="37"/>
      <c r="E186" s="37"/>
      <c r="F186" s="37"/>
      <c r="G186" s="37"/>
      <c r="H186" s="37"/>
      <c r="I186" s="37"/>
      <c r="J186" s="37"/>
      <c r="K186" s="37"/>
      <c r="L186" s="37"/>
      <c r="M186" s="37"/>
    </row>
    <row r="187" spans="1:13">
      <c r="A187" s="37"/>
      <c r="B187" s="37"/>
      <c r="C187" s="37"/>
      <c r="D187" s="37"/>
      <c r="E187" s="37"/>
      <c r="F187" s="37"/>
      <c r="G187" s="37"/>
      <c r="H187" s="37"/>
      <c r="I187" s="37"/>
      <c r="J187" s="37"/>
      <c r="K187" s="37"/>
      <c r="L187" s="37"/>
      <c r="M187" s="37"/>
    </row>
    <row r="188" spans="1:13">
      <c r="A188" s="37"/>
      <c r="B188" s="37"/>
      <c r="C188" s="37"/>
      <c r="D188" s="37"/>
      <c r="E188" s="37"/>
      <c r="F188" s="37"/>
      <c r="G188" s="37"/>
      <c r="H188" s="37"/>
      <c r="I188" s="37"/>
      <c r="J188" s="37"/>
      <c r="K188" s="37"/>
      <c r="L188" s="37"/>
      <c r="M188" s="37"/>
    </row>
    <row r="189" spans="1:13">
      <c r="A189" s="37"/>
      <c r="B189" s="37"/>
      <c r="C189" s="37"/>
      <c r="D189" s="37"/>
      <c r="E189" s="37"/>
      <c r="F189" s="37"/>
      <c r="G189" s="37"/>
      <c r="H189" s="37"/>
      <c r="I189" s="37"/>
      <c r="J189" s="37"/>
      <c r="K189" s="37"/>
      <c r="L189" s="37"/>
      <c r="M189" s="37"/>
    </row>
    <row r="190" spans="1:13">
      <c r="A190" s="37"/>
      <c r="B190" s="37"/>
      <c r="C190" s="37"/>
      <c r="D190" s="37"/>
      <c r="E190" s="37"/>
      <c r="F190" s="37"/>
      <c r="G190" s="37"/>
      <c r="H190" s="37"/>
      <c r="I190" s="37"/>
      <c r="J190" s="37"/>
      <c r="K190" s="37"/>
      <c r="L190" s="37"/>
      <c r="M190" s="37"/>
    </row>
    <row r="191" spans="1:13">
      <c r="A191" s="37"/>
      <c r="B191" s="37"/>
      <c r="C191" s="37"/>
      <c r="D191" s="37"/>
      <c r="E191" s="37"/>
      <c r="F191" s="37"/>
      <c r="G191" s="37"/>
      <c r="H191" s="37"/>
      <c r="I191" s="37"/>
      <c r="J191" s="37"/>
      <c r="K191" s="37"/>
      <c r="L191" s="37"/>
      <c r="M191" s="37"/>
    </row>
    <row r="192" spans="1:13">
      <c r="A192" s="37"/>
      <c r="B192" s="37"/>
      <c r="C192" s="37"/>
      <c r="D192" s="37"/>
      <c r="E192" s="37"/>
      <c r="F192" s="37"/>
      <c r="G192" s="37"/>
      <c r="H192" s="37"/>
      <c r="I192" s="37"/>
      <c r="J192" s="37"/>
      <c r="K192" s="37"/>
      <c r="L192" s="37"/>
      <c r="M192" s="37"/>
    </row>
    <row r="193" spans="1:13">
      <c r="A193" s="37"/>
      <c r="B193" s="37"/>
      <c r="C193" s="37"/>
      <c r="D193" s="37"/>
      <c r="E193" s="37"/>
      <c r="F193" s="37"/>
      <c r="G193" s="37"/>
      <c r="H193" s="37"/>
      <c r="I193" s="37"/>
      <c r="J193" s="37"/>
      <c r="K193" s="37"/>
      <c r="L193" s="37"/>
      <c r="M193" s="37"/>
    </row>
    <row r="194" spans="1:13">
      <c r="A194" s="37"/>
      <c r="B194" s="37"/>
      <c r="C194" s="37"/>
      <c r="D194" s="37"/>
      <c r="E194" s="37"/>
      <c r="F194" s="37"/>
      <c r="G194" s="37"/>
      <c r="H194" s="37"/>
      <c r="I194" s="37"/>
      <c r="J194" s="37"/>
      <c r="K194" s="37"/>
      <c r="L194" s="37"/>
      <c r="M194" s="37"/>
    </row>
    <row r="195" spans="1:13">
      <c r="A195" s="37"/>
      <c r="B195" s="37"/>
      <c r="C195" s="37"/>
      <c r="D195" s="37"/>
      <c r="E195" s="37"/>
      <c r="F195" s="37"/>
      <c r="G195" s="37"/>
      <c r="H195" s="37"/>
      <c r="I195" s="37"/>
      <c r="J195" s="37"/>
      <c r="K195" s="37"/>
      <c r="L195" s="37"/>
      <c r="M195" s="37"/>
    </row>
    <row r="196" spans="1:13">
      <c r="A196" s="37"/>
      <c r="B196" s="37"/>
      <c r="C196" s="37"/>
      <c r="D196" s="37"/>
      <c r="E196" s="37"/>
      <c r="F196" s="37"/>
      <c r="G196" s="37"/>
      <c r="H196" s="37"/>
      <c r="I196" s="37"/>
      <c r="J196" s="37"/>
      <c r="K196" s="37"/>
      <c r="L196" s="37"/>
      <c r="M196" s="37"/>
    </row>
    <row r="197" spans="1:13">
      <c r="A197" s="37"/>
      <c r="B197" s="37"/>
      <c r="C197" s="37"/>
      <c r="D197" s="37"/>
      <c r="E197" s="37"/>
      <c r="F197" s="37"/>
      <c r="G197" s="37"/>
      <c r="H197" s="37"/>
      <c r="I197" s="37"/>
      <c r="J197" s="37"/>
      <c r="K197" s="37"/>
      <c r="L197" s="37"/>
      <c r="M197" s="37"/>
    </row>
    <row r="198" spans="1:13">
      <c r="A198" s="37"/>
      <c r="B198" s="37"/>
      <c r="C198" s="37"/>
      <c r="D198" s="37"/>
      <c r="E198" s="37"/>
      <c r="F198" s="37"/>
      <c r="G198" s="37"/>
      <c r="H198" s="37"/>
      <c r="I198" s="37"/>
      <c r="J198" s="37"/>
      <c r="K198" s="37"/>
      <c r="L198" s="37"/>
      <c r="M198" s="37"/>
    </row>
    <row r="199" spans="1:13">
      <c r="A199" s="37"/>
      <c r="B199" s="37"/>
      <c r="C199" s="37"/>
      <c r="D199" s="37"/>
      <c r="E199" s="37"/>
      <c r="F199" s="37"/>
      <c r="G199" s="37"/>
      <c r="H199" s="37"/>
      <c r="I199" s="37"/>
      <c r="J199" s="37"/>
      <c r="K199" s="37"/>
      <c r="L199" s="37"/>
      <c r="M199" s="37"/>
    </row>
    <row r="200" spans="1:13">
      <c r="A200" s="37"/>
      <c r="B200" s="37"/>
      <c r="C200" s="37"/>
      <c r="D200" s="37"/>
      <c r="E200" s="37"/>
      <c r="F200" s="37"/>
      <c r="G200" s="37"/>
      <c r="H200" s="37"/>
      <c r="I200" s="37"/>
      <c r="J200" s="37"/>
      <c r="K200" s="37"/>
      <c r="L200" s="37"/>
      <c r="M200" s="37"/>
    </row>
    <row r="201" spans="1:13">
      <c r="A201" s="37"/>
      <c r="B201" s="37"/>
      <c r="C201" s="37"/>
      <c r="D201" s="37"/>
      <c r="E201" s="37"/>
      <c r="F201" s="37"/>
      <c r="G201" s="37"/>
      <c r="H201" s="37"/>
      <c r="I201" s="37"/>
      <c r="J201" s="37"/>
      <c r="K201" s="37"/>
      <c r="L201" s="37"/>
      <c r="M201" s="37"/>
    </row>
    <row r="202" spans="1:13">
      <c r="A202" s="37"/>
      <c r="B202" s="37"/>
      <c r="C202" s="37"/>
      <c r="D202" s="37"/>
      <c r="E202" s="37"/>
      <c r="F202" s="37"/>
      <c r="G202" s="37"/>
      <c r="H202" s="37"/>
      <c r="I202" s="37"/>
      <c r="J202" s="37"/>
      <c r="K202" s="37"/>
      <c r="L202" s="37"/>
      <c r="M202" s="37"/>
    </row>
    <row r="203" spans="1:13">
      <c r="A203" s="37"/>
      <c r="B203" s="37"/>
      <c r="C203" s="37"/>
      <c r="D203" s="37"/>
      <c r="E203" s="37"/>
      <c r="F203" s="37"/>
      <c r="G203" s="37"/>
      <c r="H203" s="37"/>
      <c r="I203" s="37"/>
      <c r="J203" s="37"/>
      <c r="K203" s="37"/>
      <c r="L203" s="37"/>
      <c r="M203" s="37"/>
    </row>
    <row r="204" spans="1:13">
      <c r="A204" s="37"/>
      <c r="B204" s="37"/>
      <c r="C204" s="37"/>
      <c r="D204" s="37"/>
      <c r="E204" s="37"/>
      <c r="F204" s="37"/>
      <c r="G204" s="37"/>
      <c r="H204" s="37"/>
      <c r="I204" s="37"/>
      <c r="J204" s="37"/>
      <c r="K204" s="37"/>
      <c r="L204" s="37"/>
      <c r="M204" s="37"/>
    </row>
    <row r="205" spans="1:13">
      <c r="A205" s="37"/>
      <c r="B205" s="37"/>
      <c r="C205" s="37"/>
      <c r="D205" s="37"/>
      <c r="E205" s="37"/>
      <c r="F205" s="37"/>
      <c r="G205" s="37"/>
      <c r="H205" s="37"/>
      <c r="I205" s="37"/>
      <c r="J205" s="37"/>
      <c r="K205" s="37"/>
      <c r="L205" s="37"/>
      <c r="M205" s="37"/>
    </row>
    <row r="206" spans="1:13">
      <c r="A206" s="37"/>
      <c r="B206" s="37"/>
      <c r="C206" s="37"/>
      <c r="D206" s="37"/>
      <c r="E206" s="37"/>
      <c r="F206" s="37"/>
      <c r="G206" s="37"/>
      <c r="H206" s="37"/>
      <c r="I206" s="37"/>
      <c r="J206" s="37"/>
      <c r="K206" s="37"/>
      <c r="L206" s="37"/>
      <c r="M206" s="37"/>
    </row>
    <row r="207" spans="1:13">
      <c r="A207" s="37"/>
      <c r="B207" s="37"/>
      <c r="C207" s="37"/>
      <c r="D207" s="37"/>
      <c r="E207" s="37"/>
      <c r="F207" s="37"/>
      <c r="G207" s="37"/>
      <c r="H207" s="37"/>
      <c r="I207" s="37"/>
      <c r="J207" s="37"/>
      <c r="K207" s="37"/>
      <c r="L207" s="37"/>
      <c r="M207" s="37"/>
    </row>
    <row r="208" spans="1:13">
      <c r="A208" s="37"/>
      <c r="B208" s="37"/>
      <c r="C208" s="37"/>
      <c r="D208" s="37"/>
      <c r="E208" s="37"/>
      <c r="F208" s="37"/>
      <c r="G208" s="37"/>
      <c r="H208" s="37"/>
      <c r="I208" s="37"/>
      <c r="J208" s="37"/>
      <c r="K208" s="37"/>
      <c r="L208" s="37"/>
      <c r="M208" s="37"/>
    </row>
    <row r="209" spans="1:13">
      <c r="A209" s="37"/>
      <c r="B209" s="37"/>
      <c r="C209" s="37"/>
      <c r="D209" s="37"/>
      <c r="E209" s="37"/>
      <c r="F209" s="37"/>
      <c r="G209" s="37"/>
      <c r="H209" s="37"/>
      <c r="I209" s="37"/>
      <c r="J209" s="37"/>
      <c r="K209" s="37"/>
      <c r="L209" s="37"/>
      <c r="M209" s="37"/>
    </row>
    <row r="210" spans="1:13">
      <c r="A210" s="37"/>
      <c r="B210" s="37"/>
      <c r="C210" s="37"/>
      <c r="D210" s="37"/>
      <c r="E210" s="37"/>
      <c r="F210" s="37"/>
      <c r="G210" s="37"/>
      <c r="H210" s="37"/>
      <c r="I210" s="37"/>
      <c r="J210" s="37"/>
      <c r="K210" s="37"/>
      <c r="L210" s="37"/>
      <c r="M210" s="37"/>
    </row>
    <row r="211" spans="1:13">
      <c r="A211" s="37"/>
      <c r="B211" s="37"/>
      <c r="C211" s="37"/>
      <c r="D211" s="37"/>
      <c r="E211" s="37"/>
      <c r="F211" s="37"/>
      <c r="G211" s="37"/>
      <c r="H211" s="37"/>
      <c r="I211" s="37"/>
      <c r="J211" s="37"/>
      <c r="K211" s="37"/>
      <c r="L211" s="37"/>
      <c r="M211" s="37"/>
    </row>
    <row r="212" spans="1:13">
      <c r="A212" s="37"/>
      <c r="B212" s="37"/>
      <c r="C212" s="37"/>
      <c r="D212" s="37"/>
      <c r="E212" s="37"/>
      <c r="F212" s="37"/>
      <c r="G212" s="37"/>
      <c r="H212" s="37"/>
      <c r="I212" s="37"/>
      <c r="J212" s="37"/>
      <c r="K212" s="37"/>
      <c r="L212" s="37"/>
      <c r="M212" s="37"/>
    </row>
    <row r="213" spans="1:13">
      <c r="A213" s="37"/>
      <c r="B213" s="37"/>
      <c r="C213" s="37"/>
      <c r="D213" s="37"/>
      <c r="E213" s="37"/>
      <c r="F213" s="37"/>
      <c r="G213" s="37"/>
      <c r="H213" s="37"/>
      <c r="I213" s="37"/>
      <c r="J213" s="37"/>
      <c r="K213" s="37"/>
      <c r="L213" s="37"/>
      <c r="M213" s="37"/>
    </row>
    <row r="214" spans="1:13">
      <c r="A214" s="37"/>
      <c r="B214" s="37"/>
      <c r="C214" s="37"/>
      <c r="D214" s="37"/>
      <c r="E214" s="37"/>
      <c r="F214" s="37"/>
      <c r="G214" s="37"/>
      <c r="H214" s="37"/>
      <c r="I214" s="37"/>
      <c r="J214" s="37"/>
      <c r="K214" s="37"/>
      <c r="L214" s="37"/>
      <c r="M214" s="37"/>
    </row>
    <row r="215" spans="1:13">
      <c r="A215" s="37"/>
      <c r="B215" s="37"/>
      <c r="C215" s="37"/>
      <c r="D215" s="37"/>
      <c r="E215" s="37"/>
      <c r="F215" s="37"/>
      <c r="G215" s="37"/>
      <c r="H215" s="37"/>
      <c r="I215" s="37"/>
      <c r="J215" s="37"/>
      <c r="K215" s="37"/>
      <c r="L215" s="37"/>
      <c r="M215" s="37"/>
    </row>
    <row r="216" spans="1:13">
      <c r="A216" s="37"/>
      <c r="B216" s="37"/>
      <c r="C216" s="37"/>
      <c r="D216" s="37"/>
      <c r="E216" s="37"/>
      <c r="F216" s="37"/>
      <c r="G216" s="37"/>
      <c r="H216" s="37"/>
      <c r="I216" s="37"/>
      <c r="J216" s="37"/>
      <c r="K216" s="37"/>
      <c r="L216" s="37"/>
      <c r="M216" s="37"/>
    </row>
    <row r="217" spans="1:13">
      <c r="A217" s="37"/>
      <c r="B217" s="37"/>
      <c r="C217" s="37"/>
      <c r="D217" s="37"/>
      <c r="E217" s="37"/>
      <c r="F217" s="37"/>
      <c r="G217" s="37"/>
      <c r="H217" s="37"/>
      <c r="I217" s="37"/>
      <c r="J217" s="37"/>
      <c r="K217" s="37"/>
      <c r="L217" s="37"/>
      <c r="M217" s="37"/>
    </row>
    <row r="218" spans="1:13">
      <c r="A218" s="37"/>
      <c r="B218" s="37"/>
      <c r="C218" s="37"/>
      <c r="D218" s="37"/>
      <c r="E218" s="37"/>
      <c r="F218" s="37"/>
      <c r="G218" s="37"/>
      <c r="H218" s="37"/>
      <c r="I218" s="37"/>
      <c r="J218" s="37"/>
      <c r="K218" s="37"/>
      <c r="L218" s="37"/>
      <c r="M218" s="37"/>
    </row>
    <row r="219" spans="1:13">
      <c r="A219" s="37"/>
      <c r="B219" s="37"/>
      <c r="C219" s="37"/>
      <c r="D219" s="37"/>
      <c r="E219" s="37"/>
      <c r="F219" s="37"/>
      <c r="G219" s="37"/>
      <c r="H219" s="37"/>
      <c r="I219" s="37"/>
      <c r="J219" s="37"/>
      <c r="K219" s="37"/>
      <c r="L219" s="37"/>
      <c r="M219" s="37"/>
    </row>
    <row r="220" spans="1:13">
      <c r="A220" s="37"/>
      <c r="B220" s="37"/>
      <c r="C220" s="37"/>
      <c r="D220" s="37"/>
      <c r="E220" s="37"/>
      <c r="F220" s="37"/>
      <c r="G220" s="37"/>
      <c r="H220" s="37"/>
      <c r="I220" s="37"/>
      <c r="J220" s="37"/>
      <c r="K220" s="37"/>
      <c r="L220" s="37"/>
      <c r="M220" s="37"/>
    </row>
    <row r="221" spans="1:13">
      <c r="A221" s="37"/>
      <c r="B221" s="37"/>
      <c r="C221" s="37"/>
      <c r="D221" s="37"/>
      <c r="E221" s="37"/>
      <c r="F221" s="37"/>
      <c r="G221" s="37"/>
      <c r="H221" s="37"/>
      <c r="I221" s="37"/>
      <c r="J221" s="37"/>
      <c r="K221" s="37"/>
      <c r="L221" s="37"/>
      <c r="M221" s="37"/>
    </row>
    <row r="222" spans="1:13">
      <c r="A222" s="37"/>
      <c r="B222" s="37"/>
      <c r="C222" s="37"/>
      <c r="D222" s="37"/>
      <c r="E222" s="37"/>
      <c r="F222" s="37"/>
      <c r="G222" s="37"/>
      <c r="H222" s="37"/>
      <c r="I222" s="37"/>
      <c r="J222" s="37"/>
      <c r="K222" s="37"/>
      <c r="L222" s="37"/>
      <c r="M222" s="37"/>
    </row>
    <row r="223" spans="1:13">
      <c r="A223" s="37"/>
      <c r="B223" s="37"/>
      <c r="C223" s="37"/>
      <c r="D223" s="37"/>
      <c r="E223" s="37"/>
      <c r="F223" s="37"/>
      <c r="G223" s="37"/>
      <c r="H223" s="37"/>
      <c r="I223" s="37"/>
      <c r="J223" s="37"/>
      <c r="K223" s="37"/>
      <c r="L223" s="37"/>
      <c r="M223" s="37"/>
    </row>
    <row r="224" spans="1:13">
      <c r="A224" s="37"/>
      <c r="B224" s="37"/>
      <c r="C224" s="37"/>
      <c r="D224" s="37"/>
      <c r="E224" s="37"/>
      <c r="F224" s="37"/>
      <c r="G224" s="37"/>
      <c r="H224" s="37"/>
      <c r="I224" s="37"/>
      <c r="J224" s="37"/>
      <c r="K224" s="37"/>
      <c r="L224" s="37"/>
      <c r="M224" s="37"/>
    </row>
    <row r="225" spans="1:13">
      <c r="A225" s="37"/>
      <c r="B225" s="37"/>
      <c r="C225" s="37"/>
      <c r="D225" s="37"/>
      <c r="E225" s="37"/>
      <c r="F225" s="37"/>
      <c r="G225" s="37"/>
      <c r="H225" s="37"/>
      <c r="I225" s="37"/>
      <c r="J225" s="37"/>
      <c r="K225" s="37"/>
      <c r="L225" s="37"/>
      <c r="M225" s="37"/>
    </row>
    <row r="226" spans="1:13">
      <c r="A226" s="37"/>
      <c r="B226" s="37"/>
      <c r="C226" s="37"/>
      <c r="D226" s="37"/>
      <c r="E226" s="37"/>
      <c r="F226" s="37"/>
      <c r="G226" s="37"/>
      <c r="H226" s="37"/>
      <c r="I226" s="37"/>
      <c r="J226" s="37"/>
      <c r="K226" s="37"/>
      <c r="L226" s="37"/>
      <c r="M226" s="37"/>
    </row>
    <row r="227" spans="1:13">
      <c r="A227" s="37"/>
      <c r="B227" s="37"/>
      <c r="C227" s="37"/>
      <c r="D227" s="37"/>
      <c r="E227" s="37"/>
      <c r="F227" s="37"/>
      <c r="G227" s="37"/>
      <c r="H227" s="37"/>
      <c r="I227" s="37"/>
      <c r="J227" s="37"/>
      <c r="K227" s="37"/>
      <c r="L227" s="37"/>
      <c r="M227" s="37"/>
    </row>
    <row r="228" spans="1:13">
      <c r="A228" s="37"/>
      <c r="B228" s="37"/>
      <c r="C228" s="37"/>
      <c r="D228" s="37"/>
      <c r="E228" s="37"/>
      <c r="F228" s="37"/>
      <c r="G228" s="37"/>
      <c r="H228" s="37"/>
      <c r="I228" s="37"/>
      <c r="J228" s="37"/>
      <c r="K228" s="37"/>
      <c r="L228" s="37"/>
      <c r="M228" s="37"/>
    </row>
    <row r="229" spans="1:13">
      <c r="A229" s="37"/>
      <c r="B229" s="37"/>
      <c r="C229" s="37"/>
      <c r="D229" s="37"/>
      <c r="E229" s="37"/>
      <c r="F229" s="37"/>
      <c r="G229" s="37"/>
      <c r="H229" s="37"/>
      <c r="I229" s="37"/>
      <c r="J229" s="37"/>
      <c r="K229" s="37"/>
      <c r="L229" s="37"/>
      <c r="M229" s="37"/>
    </row>
    <row r="230" spans="1:13">
      <c r="A230" s="37"/>
      <c r="B230" s="37"/>
      <c r="C230" s="37"/>
      <c r="D230" s="37"/>
      <c r="E230" s="37"/>
      <c r="F230" s="37"/>
      <c r="G230" s="37"/>
      <c r="H230" s="37"/>
      <c r="I230" s="37"/>
      <c r="J230" s="37"/>
      <c r="K230" s="37"/>
      <c r="L230" s="37"/>
      <c r="M230" s="37"/>
    </row>
    <row r="231" spans="1:13">
      <c r="A231" s="37"/>
      <c r="B231" s="37"/>
      <c r="C231" s="37"/>
      <c r="D231" s="37"/>
      <c r="E231" s="37"/>
      <c r="F231" s="37"/>
      <c r="G231" s="37"/>
      <c r="H231" s="37"/>
      <c r="I231" s="37"/>
      <c r="J231" s="37"/>
      <c r="K231" s="37"/>
      <c r="L231" s="37"/>
      <c r="M231" s="37"/>
    </row>
  </sheetData>
  <mergeCells count="5">
    <mergeCell ref="A3:M3"/>
    <mergeCell ref="A7:M9"/>
    <mergeCell ref="A13:A14"/>
    <mergeCell ref="B13:B14"/>
    <mergeCell ref="C13:E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FD7AFA-54DC-4799-AA60-5C798C3CA88B}"/>
</file>

<file path=customXml/itemProps2.xml><?xml version="1.0" encoding="utf-8"?>
<ds:datastoreItem xmlns:ds="http://schemas.openxmlformats.org/officeDocument/2006/customXml" ds:itemID="{847A1253-A77C-4660-8402-AF0FBB40E1AE}"/>
</file>

<file path=customXml/itemProps3.xml><?xml version="1.0" encoding="utf-8"?>
<ds:datastoreItem xmlns:ds="http://schemas.openxmlformats.org/officeDocument/2006/customXml" ds:itemID="{39132A52-1323-457B-B3BF-53C2D19EE5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98</vt:i4>
      </vt:variant>
      <vt:variant>
        <vt:lpstr>Named Ranges</vt:lpstr>
      </vt:variant>
      <vt:variant>
        <vt:i4>32</vt:i4>
      </vt:variant>
    </vt:vector>
  </HeadingPairs>
  <TitlesOfParts>
    <vt:vector size="130" baseType="lpstr">
      <vt:lpstr>Cover </vt:lpstr>
      <vt:lpstr>GI 301 LO 1</vt:lpstr>
      <vt:lpstr>F20ADVQ3</vt:lpstr>
      <vt:lpstr>F20ADVQ4</vt:lpstr>
      <vt:lpstr>S21ADVQ3</vt:lpstr>
      <vt:lpstr>F21ADVQ3</vt:lpstr>
      <vt:lpstr>F21ADVQ4</vt:lpstr>
      <vt:lpstr>S22ADVQ3</vt:lpstr>
      <vt:lpstr>F22ADVQ3</vt:lpstr>
      <vt:lpstr>F22ADVQ4</vt:lpstr>
      <vt:lpstr>S23ADVQ3</vt:lpstr>
      <vt:lpstr>F23ADVQ3</vt:lpstr>
      <vt:lpstr>S24ADVQ4</vt:lpstr>
      <vt:lpstr>F24ADVQ3</vt:lpstr>
      <vt:lpstr>F24ADVQ4</vt:lpstr>
      <vt:lpstr>GI 301 LO 2</vt:lpstr>
      <vt:lpstr>S23ADVQ10</vt:lpstr>
      <vt:lpstr>F23ADVQ10</vt:lpstr>
      <vt:lpstr>S24ADVQ10</vt:lpstr>
      <vt:lpstr>F24ADVQ10</vt:lpstr>
      <vt:lpstr>GI 301 LO 3</vt:lpstr>
      <vt:lpstr>F20RRQ8</vt:lpstr>
      <vt:lpstr>S21RRQ7</vt:lpstr>
      <vt:lpstr>F21RRQ8</vt:lpstr>
      <vt:lpstr>S22RRQ14</vt:lpstr>
      <vt:lpstr>F22RRQ9</vt:lpstr>
      <vt:lpstr>GI 301 LO 4</vt:lpstr>
      <vt:lpstr>F20ADVQ6</vt:lpstr>
      <vt:lpstr>S21ADVQ6</vt:lpstr>
      <vt:lpstr>F21ADVQ6</vt:lpstr>
      <vt:lpstr>F22ADVQ6</vt:lpstr>
      <vt:lpstr>S23ADVQ8</vt:lpstr>
      <vt:lpstr>F23ADVQ8</vt:lpstr>
      <vt:lpstr>S24ADVQ08</vt:lpstr>
      <vt:lpstr>GI 301 LO 5</vt:lpstr>
      <vt:lpstr>F20RRQ14</vt:lpstr>
      <vt:lpstr>F21RRQ9</vt:lpstr>
      <vt:lpstr>S22RRQ5</vt:lpstr>
      <vt:lpstr>GI 301 LO 6</vt:lpstr>
      <vt:lpstr>F20RRQ3</vt:lpstr>
      <vt:lpstr>F20RRQ10</vt:lpstr>
      <vt:lpstr>F20RRQ11</vt:lpstr>
      <vt:lpstr>S21RRQ10</vt:lpstr>
      <vt:lpstr>S21RRQ13</vt:lpstr>
      <vt:lpstr>F21RRQ3</vt:lpstr>
      <vt:lpstr>F21RRQ10</vt:lpstr>
      <vt:lpstr>S22RRQ7</vt:lpstr>
      <vt:lpstr>S22RRQ19</vt:lpstr>
      <vt:lpstr>F22RRQ1</vt:lpstr>
      <vt:lpstr>F22RRQ8</vt:lpstr>
      <vt:lpstr>F22RRQ19</vt:lpstr>
      <vt:lpstr>F20FREUQ15</vt:lpstr>
      <vt:lpstr>F21FREUQ5</vt:lpstr>
      <vt:lpstr>S23ADVQ7</vt:lpstr>
      <vt:lpstr>S23ADVQ11</vt:lpstr>
      <vt:lpstr>S23ADVQ12</vt:lpstr>
      <vt:lpstr>F23ADVQ7</vt:lpstr>
      <vt:lpstr>F23ADVQ11</vt:lpstr>
      <vt:lpstr>F23ADVQ12</vt:lpstr>
      <vt:lpstr>S24ADVQ07</vt:lpstr>
      <vt:lpstr>S24ADVQ12</vt:lpstr>
      <vt:lpstr>F24ADVQ07</vt:lpstr>
      <vt:lpstr>F24ADVQ011</vt:lpstr>
      <vt:lpstr>GI 301 LO 7</vt:lpstr>
      <vt:lpstr>F20ADVQ1</vt:lpstr>
      <vt:lpstr>F20ADVQ8</vt:lpstr>
      <vt:lpstr>S21ADVQ1</vt:lpstr>
      <vt:lpstr>S21ADVQ8</vt:lpstr>
      <vt:lpstr>F21ADVQ1</vt:lpstr>
      <vt:lpstr>F21ADVQ8</vt:lpstr>
      <vt:lpstr>S22ADVQ1</vt:lpstr>
      <vt:lpstr>S22ADVQ8</vt:lpstr>
      <vt:lpstr>F22ADVQ1</vt:lpstr>
      <vt:lpstr>F22ADVQ8</vt:lpstr>
      <vt:lpstr>S23ADVQ1</vt:lpstr>
      <vt:lpstr>S23ADVQ9</vt:lpstr>
      <vt:lpstr>S23ADVQ13</vt:lpstr>
      <vt:lpstr>F23ADVQ1</vt:lpstr>
      <vt:lpstr>F23ADVQ9</vt:lpstr>
      <vt:lpstr>F23ADVQ13</vt:lpstr>
      <vt:lpstr>S24ADVQ01</vt:lpstr>
      <vt:lpstr>S24ADVQ09</vt:lpstr>
      <vt:lpstr>S24ADVQ13</vt:lpstr>
      <vt:lpstr>F24ADVQ01</vt:lpstr>
      <vt:lpstr>F24ADVQ13</vt:lpstr>
      <vt:lpstr>GI 301 LO 8</vt:lpstr>
      <vt:lpstr>F20RRQ12</vt:lpstr>
      <vt:lpstr>S21RRQ8</vt:lpstr>
      <vt:lpstr>F21RRQ17</vt:lpstr>
      <vt:lpstr>F22RRQ20</vt:lpstr>
      <vt:lpstr>F20ADVQ5</vt:lpstr>
      <vt:lpstr>S21ADVQ5</vt:lpstr>
      <vt:lpstr>F21ADVQ5</vt:lpstr>
      <vt:lpstr>S22ADVQ5</vt:lpstr>
      <vt:lpstr>S23ADVQ5</vt:lpstr>
      <vt:lpstr>F23ADVQ5</vt:lpstr>
      <vt:lpstr>S24ADVQ05</vt:lpstr>
      <vt:lpstr>F24ADVQ05</vt:lpstr>
      <vt:lpstr>F23ADVQ1!attach2</vt:lpstr>
      <vt:lpstr>F23ADVQ13!attach2</vt:lpstr>
      <vt:lpstr>F23ADVQ9!attach2</vt:lpstr>
      <vt:lpstr>attach2</vt:lpstr>
      <vt:lpstr>F23ADVQ1!ILF_Tab</vt:lpstr>
      <vt:lpstr>F23ADVQ13!ILF_Tab</vt:lpstr>
      <vt:lpstr>F23ADVQ9!ILF_Tab</vt:lpstr>
      <vt:lpstr>ILF_Tab</vt:lpstr>
      <vt:lpstr>F23ADVQ1!layer</vt:lpstr>
      <vt:lpstr>F23ADVQ13!layer</vt:lpstr>
      <vt:lpstr>F23ADVQ9!layer</vt:lpstr>
      <vt:lpstr>layer</vt:lpstr>
      <vt:lpstr>F20ADVQ8!P_1</vt:lpstr>
      <vt:lpstr>F20ADVQ8!P_2</vt:lpstr>
      <vt:lpstr>F20ADVQ8!P_3</vt:lpstr>
      <vt:lpstr>F20RRQ10!Print_Area</vt:lpstr>
      <vt:lpstr>F20RRQ11!Print_Area</vt:lpstr>
      <vt:lpstr>F20RRQ12!Print_Area</vt:lpstr>
      <vt:lpstr>F20RRQ14!Print_Area</vt:lpstr>
      <vt:lpstr>F20RRQ3!Print_Area</vt:lpstr>
      <vt:lpstr>F20RRQ8!Print_Area</vt:lpstr>
      <vt:lpstr>F21RRQ10!Print_Area</vt:lpstr>
      <vt:lpstr>F21RRQ17!Print_Area</vt:lpstr>
      <vt:lpstr>F21RRQ3!Print_Area</vt:lpstr>
      <vt:lpstr>F21RRQ8!Print_Area</vt:lpstr>
      <vt:lpstr>F21RRQ9!Print_Area</vt:lpstr>
      <vt:lpstr>F20RRQ10!Print_Titles</vt:lpstr>
      <vt:lpstr>F20RRQ11!Print_Titles</vt:lpstr>
      <vt:lpstr>F20RRQ12!Print_Titles</vt:lpstr>
      <vt:lpstr>F20RRQ14!Print_Titles</vt:lpstr>
      <vt:lpstr>F20RRQ3!Print_Titles</vt:lpstr>
      <vt:lpstr>F20RRQ8!Print_Titles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Norris</dc:creator>
  <cp:lastModifiedBy>Douglas Norris</cp:lastModifiedBy>
  <dcterms:created xsi:type="dcterms:W3CDTF">2015-06-05T18:17:20Z</dcterms:created>
  <dcterms:modified xsi:type="dcterms:W3CDTF">2025-06-30T15:39:27Z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